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 codeName="{21656B06-1B9B-AA78-C99D-37B55691406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640" tabRatio="598"/>
  </bookViews>
  <sheets>
    <sheet name="Main" sheetId="24" r:id="rId1"/>
    <sheet name="Blank for Calculation" sheetId="27" r:id="rId2"/>
    <sheet name="Pipe Chart" sheetId="25" r:id="rId3"/>
    <sheet name="Properties" sheetId="21" state="hidden" r:id="rId4"/>
    <sheet name="Functions" sheetId="18" state="hidden" r:id="rId5"/>
  </sheets>
  <functionGroups builtInGroupCount="18"/>
  <definedNames>
    <definedName name="Drum_Design">Main!$S$18</definedName>
    <definedName name="Drum_Layout">Main!$W$19:$W$19</definedName>
    <definedName name="Pipe_Chart">'Pipe Chart'!$B$4:$T$35</definedName>
    <definedName name="Pipe_Size">'Pipe Chart'!$B$4:$B$35</definedName>
    <definedName name="Prev_unit">Main!$AA$3</definedName>
    <definedName name="_xlnm.Print_Area" localSheetId="0">Main!$B$2:$O$52</definedName>
    <definedName name="Schedule">OFFSET('Pipe Chart'!$AX$4,,,MAX('Pipe Chart'!$AW$4:$AW$20),1)</definedName>
    <definedName name="solver_adj" localSheetId="0" hidden="1">Main!#REF!</definedName>
    <definedName name="solver_cvg" localSheetId="0" hidden="1">0.000001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Main!#REF!</definedName>
    <definedName name="solver_pre" localSheetId="0" hidden="1">0.00000001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unit_preference_energy">Main!$X$8</definedName>
    <definedName name="unit_preference_energy_SI">Main!$W$17</definedName>
    <definedName name="unit_preference_length">Main!$X$6</definedName>
    <definedName name="unit_preference_length_inch">Main!$X$10</definedName>
    <definedName name="unit_preference_length_SI">Main!$W$14</definedName>
    <definedName name="unit_preference_mass">Main!$X$5</definedName>
    <definedName name="unit_preference_mass_SI">Main!$W$13</definedName>
    <definedName name="unit_preference_pres">Main!$X$7</definedName>
    <definedName name="unit_preference_pres_SI">Main!$W$15</definedName>
    <definedName name="unit_preference_velo">Main!$X$9</definedName>
    <definedName name="units_pref">Main!$S$3</definedName>
  </definedNames>
  <calcPr calcId="171027"/>
</workbook>
</file>

<file path=xl/calcChain.xml><?xml version="1.0" encoding="utf-8"?>
<calcChain xmlns="http://schemas.openxmlformats.org/spreadsheetml/2006/main">
  <c r="T41" i="24" l="1"/>
  <c r="D43" i="24" s="1"/>
  <c r="E34" i="24"/>
  <c r="G26" i="24"/>
  <c r="E32" i="24"/>
  <c r="E30" i="24"/>
  <c r="K31" i="24" s="1"/>
  <c r="T27" i="24"/>
  <c r="E29" i="24"/>
  <c r="K27" i="24" s="1"/>
  <c r="K15" i="24"/>
  <c r="K12" i="24"/>
  <c r="E48" i="24"/>
  <c r="AP5" i="25"/>
  <c r="AE8" i="25"/>
  <c r="AE6" i="25"/>
  <c r="AB4" i="25"/>
  <c r="AC4" i="25"/>
  <c r="AD4" i="25"/>
  <c r="AE4" i="25"/>
  <c r="AF4" i="25"/>
  <c r="AG4" i="25"/>
  <c r="AH4" i="25"/>
  <c r="AI4" i="25"/>
  <c r="AJ4" i="25"/>
  <c r="AK4" i="25"/>
  <c r="AL4" i="25"/>
  <c r="AM4" i="25"/>
  <c r="AN4" i="25"/>
  <c r="AO4" i="25"/>
  <c r="AP4" i="25"/>
  <c r="AQ4" i="25"/>
  <c r="AR4" i="25"/>
  <c r="AB5" i="25"/>
  <c r="AC5" i="25"/>
  <c r="AD5" i="25"/>
  <c r="AE5" i="25"/>
  <c r="AF5" i="25"/>
  <c r="AG5" i="25"/>
  <c r="AH5" i="25"/>
  <c r="AI5" i="25"/>
  <c r="AJ5" i="25"/>
  <c r="AK5" i="25"/>
  <c r="AL5" i="25"/>
  <c r="AM5" i="25"/>
  <c r="AN5" i="25"/>
  <c r="AO5" i="25"/>
  <c r="AQ5" i="25"/>
  <c r="AR5" i="25"/>
  <c r="AB6" i="25"/>
  <c r="AC6" i="25"/>
  <c r="AD6" i="25"/>
  <c r="AF6" i="25"/>
  <c r="AG6" i="25"/>
  <c r="AH6" i="25"/>
  <c r="AI6" i="25"/>
  <c r="AJ6" i="25"/>
  <c r="AK6" i="25"/>
  <c r="AL6" i="25"/>
  <c r="AM6" i="25"/>
  <c r="AN6" i="25"/>
  <c r="AO6" i="25"/>
  <c r="AP6" i="25"/>
  <c r="AQ6" i="25"/>
  <c r="AR6" i="25"/>
  <c r="AB7" i="25"/>
  <c r="AC7" i="25"/>
  <c r="AD7" i="25"/>
  <c r="AE7" i="25"/>
  <c r="AF7" i="25"/>
  <c r="AG7" i="25"/>
  <c r="AH7" i="25"/>
  <c r="AI7" i="25"/>
  <c r="AJ7" i="25"/>
  <c r="AK7" i="25"/>
  <c r="AL7" i="25"/>
  <c r="AM7" i="25"/>
  <c r="AN7" i="25"/>
  <c r="AO7" i="25"/>
  <c r="AP7" i="25"/>
  <c r="AQ7" i="25"/>
  <c r="AR7" i="25"/>
  <c r="AB8" i="25"/>
  <c r="AC8" i="25"/>
  <c r="AD8" i="25"/>
  <c r="AF8" i="25"/>
  <c r="AG8" i="25"/>
  <c r="AH8" i="25"/>
  <c r="AI8" i="25"/>
  <c r="AJ8" i="25"/>
  <c r="AK8" i="25"/>
  <c r="AL8" i="25"/>
  <c r="AM8" i="25"/>
  <c r="AN8" i="25"/>
  <c r="AO8" i="25"/>
  <c r="AP8" i="25"/>
  <c r="AQ8" i="25"/>
  <c r="AR8" i="25"/>
  <c r="AB9" i="25"/>
  <c r="AC9" i="25"/>
  <c r="AD9" i="25"/>
  <c r="AE9" i="25"/>
  <c r="AF9" i="25"/>
  <c r="AG9" i="25"/>
  <c r="AH9" i="25"/>
  <c r="AI9" i="25"/>
  <c r="AJ9" i="25"/>
  <c r="AK9" i="25"/>
  <c r="AL9" i="25"/>
  <c r="AM9" i="25"/>
  <c r="AN9" i="25"/>
  <c r="AO9" i="25"/>
  <c r="AP9" i="25"/>
  <c r="AQ9" i="25"/>
  <c r="AR9" i="25"/>
  <c r="AB10" i="25"/>
  <c r="AC10" i="25"/>
  <c r="AD10" i="25"/>
  <c r="AE10" i="25"/>
  <c r="AF10" i="25"/>
  <c r="AG10" i="25"/>
  <c r="AH10" i="25"/>
  <c r="AI10" i="25"/>
  <c r="AJ10" i="25"/>
  <c r="AK10" i="25"/>
  <c r="AL10" i="25"/>
  <c r="AM10" i="25"/>
  <c r="AN10" i="25"/>
  <c r="AO10" i="25"/>
  <c r="AP10" i="25"/>
  <c r="AQ10" i="25"/>
  <c r="AR10" i="25"/>
  <c r="AB11" i="25"/>
  <c r="AC11" i="25"/>
  <c r="AD11" i="25"/>
  <c r="AE11" i="25"/>
  <c r="AF11" i="25"/>
  <c r="AG11" i="25"/>
  <c r="AH11" i="25"/>
  <c r="AI11" i="25"/>
  <c r="AJ11" i="25"/>
  <c r="AK11" i="25"/>
  <c r="AL11" i="25"/>
  <c r="AM11" i="25"/>
  <c r="AN11" i="25"/>
  <c r="AO11" i="25"/>
  <c r="AP11" i="25"/>
  <c r="AQ11" i="25"/>
  <c r="AR11" i="25"/>
  <c r="AB12" i="25"/>
  <c r="AC12" i="25"/>
  <c r="AD12" i="25"/>
  <c r="AE12" i="25"/>
  <c r="AF12" i="25"/>
  <c r="AG12" i="25"/>
  <c r="AH12" i="25"/>
  <c r="AI12" i="25"/>
  <c r="AJ12" i="25"/>
  <c r="AK12" i="25"/>
  <c r="AL12" i="25"/>
  <c r="AM12" i="25"/>
  <c r="AN12" i="25"/>
  <c r="AO12" i="25"/>
  <c r="AP12" i="25"/>
  <c r="AQ12" i="25"/>
  <c r="AR12" i="25"/>
  <c r="AB13" i="25"/>
  <c r="AC13" i="25"/>
  <c r="AD13" i="25"/>
  <c r="AE13" i="25"/>
  <c r="AF13" i="25"/>
  <c r="AG13" i="25"/>
  <c r="AH13" i="25"/>
  <c r="AI13" i="25"/>
  <c r="AJ13" i="25"/>
  <c r="AK13" i="25"/>
  <c r="AL13" i="25"/>
  <c r="AM13" i="25"/>
  <c r="AN13" i="25"/>
  <c r="AO13" i="25"/>
  <c r="AP13" i="25"/>
  <c r="AQ13" i="25"/>
  <c r="AR13" i="25"/>
  <c r="AB14" i="25"/>
  <c r="AC14" i="25"/>
  <c r="AD14" i="25"/>
  <c r="AE14" i="25"/>
  <c r="AF14" i="25"/>
  <c r="AG14" i="25"/>
  <c r="AH14" i="25"/>
  <c r="AI14" i="25"/>
  <c r="AJ14" i="25"/>
  <c r="AK14" i="25"/>
  <c r="AL14" i="25"/>
  <c r="AM14" i="25"/>
  <c r="AN14" i="25"/>
  <c r="AO14" i="25"/>
  <c r="AP14" i="25"/>
  <c r="AQ14" i="25"/>
  <c r="AR14" i="25"/>
  <c r="AB15" i="25"/>
  <c r="AC15" i="25"/>
  <c r="AD15" i="25"/>
  <c r="AE15" i="25"/>
  <c r="AF15" i="25"/>
  <c r="AG15" i="25"/>
  <c r="AH15" i="25"/>
  <c r="AI15" i="25"/>
  <c r="AJ15" i="25"/>
  <c r="AK15" i="25"/>
  <c r="AL15" i="25"/>
  <c r="AM15" i="25"/>
  <c r="AN15" i="25"/>
  <c r="AO15" i="25"/>
  <c r="AP15" i="25"/>
  <c r="AQ15" i="25"/>
  <c r="AR15" i="25"/>
  <c r="AB16" i="25"/>
  <c r="AC16" i="25"/>
  <c r="AD16" i="25"/>
  <c r="AE16" i="25"/>
  <c r="AF16" i="25"/>
  <c r="AG16" i="25"/>
  <c r="AH16" i="25"/>
  <c r="AI16" i="25"/>
  <c r="AJ16" i="25"/>
  <c r="AK16" i="25"/>
  <c r="AL16" i="25"/>
  <c r="AM16" i="25"/>
  <c r="AN16" i="25"/>
  <c r="AO16" i="25"/>
  <c r="AP16" i="25"/>
  <c r="AQ16" i="25"/>
  <c r="AR16" i="25"/>
  <c r="AB17" i="25"/>
  <c r="AC17" i="25"/>
  <c r="AD17" i="25"/>
  <c r="AE17" i="25"/>
  <c r="AF17" i="25"/>
  <c r="AG17" i="25"/>
  <c r="AH17" i="25"/>
  <c r="AI17" i="25"/>
  <c r="AJ17" i="25"/>
  <c r="AK17" i="25"/>
  <c r="AL17" i="25"/>
  <c r="AM17" i="25"/>
  <c r="AN17" i="25"/>
  <c r="AO17" i="25"/>
  <c r="AP17" i="25"/>
  <c r="AQ17" i="25"/>
  <c r="AR17" i="25"/>
  <c r="AB18" i="25"/>
  <c r="AC18" i="25"/>
  <c r="AD18" i="25"/>
  <c r="AE18" i="25"/>
  <c r="AF18" i="25"/>
  <c r="AG18" i="25"/>
  <c r="AH18" i="25"/>
  <c r="AI18" i="25"/>
  <c r="AJ18" i="25"/>
  <c r="AK18" i="25"/>
  <c r="AL18" i="25"/>
  <c r="AM18" i="25"/>
  <c r="AN18" i="25"/>
  <c r="AO18" i="25"/>
  <c r="AP18" i="25"/>
  <c r="AQ18" i="25"/>
  <c r="AR18" i="25"/>
  <c r="AB19" i="25"/>
  <c r="AC19" i="25"/>
  <c r="AD19" i="25"/>
  <c r="AE19" i="25"/>
  <c r="AF19" i="25"/>
  <c r="AG19" i="25"/>
  <c r="AH19" i="25"/>
  <c r="AI19" i="25"/>
  <c r="AJ19" i="25"/>
  <c r="AK19" i="25"/>
  <c r="AL19" i="25"/>
  <c r="AM19" i="25"/>
  <c r="AN19" i="25"/>
  <c r="AO19" i="25"/>
  <c r="AP19" i="25"/>
  <c r="AQ19" i="25"/>
  <c r="AR19" i="25"/>
  <c r="AB20" i="25"/>
  <c r="AC20" i="25"/>
  <c r="AD20" i="25"/>
  <c r="AE20" i="25"/>
  <c r="AF20" i="25"/>
  <c r="AG20" i="25"/>
  <c r="AH20" i="25"/>
  <c r="AI20" i="25"/>
  <c r="AJ20" i="25"/>
  <c r="AK20" i="25"/>
  <c r="AL20" i="25"/>
  <c r="AM20" i="25"/>
  <c r="AN20" i="25"/>
  <c r="AO20" i="25"/>
  <c r="AP20" i="25"/>
  <c r="AQ20" i="25"/>
  <c r="AR20" i="25"/>
  <c r="AB21" i="25"/>
  <c r="AC21" i="25"/>
  <c r="AD21" i="25"/>
  <c r="AE21" i="25"/>
  <c r="AF21" i="25"/>
  <c r="AG21" i="25"/>
  <c r="AH21" i="25"/>
  <c r="AI21" i="25"/>
  <c r="AJ21" i="25"/>
  <c r="AK21" i="25"/>
  <c r="AL21" i="25"/>
  <c r="AM21" i="25"/>
  <c r="AN21" i="25"/>
  <c r="AO21" i="25"/>
  <c r="AP21" i="25"/>
  <c r="AQ21" i="25"/>
  <c r="AR21" i="25"/>
  <c r="AB22" i="25"/>
  <c r="AC22" i="25"/>
  <c r="AD22" i="25"/>
  <c r="AE22" i="25"/>
  <c r="AF22" i="25"/>
  <c r="AG22" i="25"/>
  <c r="AH22" i="25"/>
  <c r="AI22" i="25"/>
  <c r="AJ22" i="25"/>
  <c r="AK22" i="25"/>
  <c r="AL22" i="25"/>
  <c r="AM22" i="25"/>
  <c r="AN22" i="25"/>
  <c r="AO22" i="25"/>
  <c r="AP22" i="25"/>
  <c r="AQ22" i="25"/>
  <c r="AR22" i="25"/>
  <c r="AB23" i="25"/>
  <c r="AC23" i="25"/>
  <c r="AD23" i="25"/>
  <c r="AE23" i="25"/>
  <c r="AF23" i="25"/>
  <c r="AG23" i="25"/>
  <c r="AH23" i="25"/>
  <c r="AI23" i="25"/>
  <c r="AJ23" i="25"/>
  <c r="AK23" i="25"/>
  <c r="AL23" i="25"/>
  <c r="AM23" i="25"/>
  <c r="AN23" i="25"/>
  <c r="AO23" i="25"/>
  <c r="AP23" i="25"/>
  <c r="AQ23" i="25"/>
  <c r="AR23" i="25"/>
  <c r="AB24" i="25"/>
  <c r="AC24" i="25"/>
  <c r="AD24" i="25"/>
  <c r="AE24" i="25"/>
  <c r="AF24" i="25"/>
  <c r="AG24" i="25"/>
  <c r="AH24" i="25"/>
  <c r="AI24" i="25"/>
  <c r="AJ24" i="25"/>
  <c r="AK24" i="25"/>
  <c r="AL24" i="25"/>
  <c r="AM24" i="25"/>
  <c r="AN24" i="25"/>
  <c r="AO24" i="25"/>
  <c r="AP24" i="25"/>
  <c r="AQ24" i="25"/>
  <c r="AR24" i="25"/>
  <c r="AB25" i="25"/>
  <c r="AC25" i="25"/>
  <c r="AD25" i="25"/>
  <c r="AE25" i="25"/>
  <c r="AF25" i="25"/>
  <c r="AG25" i="25"/>
  <c r="AH25" i="25"/>
  <c r="AI25" i="25"/>
  <c r="AJ25" i="25"/>
  <c r="AK25" i="25"/>
  <c r="AL25" i="25"/>
  <c r="AM25" i="25"/>
  <c r="AN25" i="25"/>
  <c r="AO25" i="25"/>
  <c r="AP25" i="25"/>
  <c r="AQ25" i="25"/>
  <c r="AR25" i="25"/>
  <c r="AB26" i="25"/>
  <c r="AC26" i="25"/>
  <c r="AD26" i="25"/>
  <c r="AE26" i="25"/>
  <c r="AF26" i="25"/>
  <c r="AG26" i="25"/>
  <c r="AH26" i="25"/>
  <c r="AI26" i="25"/>
  <c r="AJ26" i="25"/>
  <c r="AK26" i="25"/>
  <c r="AL26" i="25"/>
  <c r="AM26" i="25"/>
  <c r="AN26" i="25"/>
  <c r="AO26" i="25"/>
  <c r="AP26" i="25"/>
  <c r="AQ26" i="25"/>
  <c r="AR26" i="25"/>
  <c r="AB27" i="25"/>
  <c r="AC27" i="25"/>
  <c r="AD27" i="25"/>
  <c r="AE27" i="25"/>
  <c r="AF27" i="25"/>
  <c r="AG27" i="25"/>
  <c r="AH27" i="25"/>
  <c r="AI27" i="25"/>
  <c r="AJ27" i="25"/>
  <c r="AK27" i="25"/>
  <c r="AL27" i="25"/>
  <c r="AM27" i="25"/>
  <c r="AN27" i="25"/>
  <c r="AO27" i="25"/>
  <c r="AP27" i="25"/>
  <c r="AQ27" i="25"/>
  <c r="AR27" i="25"/>
  <c r="AB28" i="25"/>
  <c r="AC28" i="25"/>
  <c r="AD28" i="25"/>
  <c r="AE28" i="25"/>
  <c r="AF28" i="25"/>
  <c r="AG28" i="25"/>
  <c r="AH28" i="25"/>
  <c r="AI28" i="25"/>
  <c r="AJ28" i="25"/>
  <c r="AK28" i="25"/>
  <c r="AL28" i="25"/>
  <c r="AM28" i="25"/>
  <c r="AN28" i="25"/>
  <c r="AO28" i="25"/>
  <c r="AP28" i="25"/>
  <c r="AQ28" i="25"/>
  <c r="AR28" i="25"/>
  <c r="AB29" i="25"/>
  <c r="AC29" i="25"/>
  <c r="AD29" i="25"/>
  <c r="AE29" i="25"/>
  <c r="AF29" i="25"/>
  <c r="AG29" i="25"/>
  <c r="AH29" i="25"/>
  <c r="AI29" i="25"/>
  <c r="AJ29" i="25"/>
  <c r="AK29" i="25"/>
  <c r="AL29" i="25"/>
  <c r="AM29" i="25"/>
  <c r="AN29" i="25"/>
  <c r="AO29" i="25"/>
  <c r="AP29" i="25"/>
  <c r="AQ29" i="25"/>
  <c r="AR29" i="25"/>
  <c r="AB30" i="25"/>
  <c r="AC30" i="25"/>
  <c r="AD30" i="25"/>
  <c r="AE30" i="25"/>
  <c r="AF30" i="25"/>
  <c r="AG30" i="25"/>
  <c r="AH30" i="25"/>
  <c r="AI30" i="25"/>
  <c r="AJ30" i="25"/>
  <c r="AK30" i="25"/>
  <c r="AL30" i="25"/>
  <c r="AM30" i="25"/>
  <c r="AN30" i="25"/>
  <c r="AO30" i="25"/>
  <c r="AP30" i="25"/>
  <c r="AQ30" i="25"/>
  <c r="AR30" i="25"/>
  <c r="AB31" i="25"/>
  <c r="AC31" i="25"/>
  <c r="AD31" i="25"/>
  <c r="AE31" i="25"/>
  <c r="AF31" i="25"/>
  <c r="AG31" i="25"/>
  <c r="AH31" i="25"/>
  <c r="AI31" i="25"/>
  <c r="AJ31" i="25"/>
  <c r="AK31" i="25"/>
  <c r="AL31" i="25"/>
  <c r="AM31" i="25"/>
  <c r="AN31" i="25"/>
  <c r="AO31" i="25"/>
  <c r="AP31" i="25"/>
  <c r="AQ31" i="25"/>
  <c r="AR31" i="25"/>
  <c r="AB32" i="25"/>
  <c r="AC32" i="25"/>
  <c r="AD32" i="25"/>
  <c r="AE32" i="25"/>
  <c r="AF32" i="25"/>
  <c r="AG32" i="25"/>
  <c r="AH32" i="25"/>
  <c r="AI32" i="25"/>
  <c r="AJ32" i="25"/>
  <c r="AK32" i="25"/>
  <c r="AL32" i="25"/>
  <c r="AM32" i="25"/>
  <c r="AN32" i="25"/>
  <c r="AO32" i="25"/>
  <c r="AP32" i="25"/>
  <c r="AQ32" i="25"/>
  <c r="AR32" i="25"/>
  <c r="AB33" i="25"/>
  <c r="AC33" i="25"/>
  <c r="AD33" i="25"/>
  <c r="AE33" i="25"/>
  <c r="AF33" i="25"/>
  <c r="AG33" i="25"/>
  <c r="AH33" i="25"/>
  <c r="AI33" i="25"/>
  <c r="AJ33" i="25"/>
  <c r="AK33" i="25"/>
  <c r="AL33" i="25"/>
  <c r="AM33" i="25"/>
  <c r="AN33" i="25"/>
  <c r="AO33" i="25"/>
  <c r="AP33" i="25"/>
  <c r="AQ33" i="25"/>
  <c r="AR33" i="25"/>
  <c r="AB34" i="25"/>
  <c r="AC34" i="25"/>
  <c r="AD34" i="25"/>
  <c r="AE34" i="25"/>
  <c r="AF34" i="25"/>
  <c r="AG34" i="25"/>
  <c r="AH34" i="25"/>
  <c r="AI34" i="25"/>
  <c r="AJ34" i="25"/>
  <c r="AK34" i="25"/>
  <c r="AL34" i="25"/>
  <c r="AM34" i="25"/>
  <c r="AN34" i="25"/>
  <c r="AO34" i="25"/>
  <c r="AP34" i="25"/>
  <c r="AQ34" i="25"/>
  <c r="AR34" i="25"/>
  <c r="AB35" i="25"/>
  <c r="AC35" i="25"/>
  <c r="AD35" i="25"/>
  <c r="AE35" i="25"/>
  <c r="AF35" i="25"/>
  <c r="AG35" i="25"/>
  <c r="AH35" i="25"/>
  <c r="AI35" i="25"/>
  <c r="AJ35" i="25"/>
  <c r="AK35" i="25"/>
  <c r="AL35" i="25"/>
  <c r="AM35" i="25"/>
  <c r="AN35" i="25"/>
  <c r="AO35" i="25"/>
  <c r="AP35" i="25"/>
  <c r="AQ35" i="25"/>
  <c r="AR35" i="25"/>
  <c r="W3" i="24"/>
  <c r="S5" i="24"/>
  <c r="S7" i="24"/>
  <c r="Y5" i="24"/>
  <c r="X5" i="24" s="1"/>
  <c r="E6" i="24"/>
  <c r="H6" i="24"/>
  <c r="K6" i="24"/>
  <c r="O6" i="24"/>
  <c r="Y6" i="24"/>
  <c r="X6" i="24"/>
  <c r="C40" i="24" s="1"/>
  <c r="AB6" i="24"/>
  <c r="AC6" i="24"/>
  <c r="E7" i="24"/>
  <c r="C16" i="24" s="1"/>
  <c r="H7" i="24"/>
  <c r="K7" i="24"/>
  <c r="O7" i="24"/>
  <c r="Y7" i="24"/>
  <c r="X7" i="24"/>
  <c r="AB7" i="24"/>
  <c r="AC7" i="24"/>
  <c r="Y8" i="24"/>
  <c r="X8" i="24"/>
  <c r="Y9" i="24"/>
  <c r="X9" i="24" s="1"/>
  <c r="E10" i="24"/>
  <c r="G27" i="24"/>
  <c r="O10" i="24"/>
  <c r="X10" i="24"/>
  <c r="S27" i="24" s="1"/>
  <c r="AB10" i="24"/>
  <c r="AC10" i="24"/>
  <c r="E12" i="24"/>
  <c r="J21" i="24" s="1"/>
  <c r="H12" i="24"/>
  <c r="E13" i="24"/>
  <c r="E15" i="24"/>
  <c r="J36" i="24" s="1"/>
  <c r="H15" i="24"/>
  <c r="E16" i="24"/>
  <c r="O20" i="24"/>
  <c r="I32" i="24"/>
  <c r="AV2" i="25"/>
  <c r="AV14" i="25" s="1"/>
  <c r="S6" i="24"/>
  <c r="AV9" i="25"/>
  <c r="I33" i="24"/>
  <c r="I28" i="24"/>
  <c r="F75" i="18"/>
  <c r="F23" i="18"/>
  <c r="F21" i="18"/>
  <c r="C26" i="21"/>
  <c r="F44" i="18"/>
  <c r="F11" i="18"/>
  <c r="G8" i="21"/>
  <c r="F60" i="18"/>
  <c r="G24" i="21"/>
  <c r="C12" i="21"/>
  <c r="C29" i="21"/>
  <c r="J7" i="24"/>
  <c r="F77" i="18"/>
  <c r="F56" i="18"/>
  <c r="G29" i="21"/>
  <c r="C22" i="21"/>
  <c r="F112" i="18"/>
  <c r="F40" i="18"/>
  <c r="F71" i="18"/>
  <c r="F103" i="18"/>
  <c r="G11" i="21"/>
  <c r="G12" i="21"/>
  <c r="F38" i="18"/>
  <c r="C16" i="21"/>
  <c r="C11" i="21"/>
  <c r="F72" i="18"/>
  <c r="F26" i="18"/>
  <c r="F37" i="18"/>
  <c r="G14" i="21"/>
  <c r="F12" i="18"/>
  <c r="F33" i="18"/>
  <c r="F28" i="18"/>
  <c r="F64" i="18"/>
  <c r="F55" i="18"/>
  <c r="F95" i="18"/>
  <c r="C24" i="21"/>
  <c r="C14" i="21"/>
  <c r="F98" i="18"/>
  <c r="F39" i="18"/>
  <c r="F104" i="18"/>
  <c r="C28" i="21"/>
  <c r="F106" i="18"/>
  <c r="F45" i="18"/>
  <c r="F107" i="18"/>
  <c r="F59" i="18"/>
  <c r="F42" i="18"/>
  <c r="F61" i="18"/>
  <c r="F52" i="18"/>
  <c r="F22" i="18"/>
  <c r="F96" i="18"/>
  <c r="F25" i="18"/>
  <c r="F69" i="18"/>
  <c r="F91" i="18"/>
  <c r="F97" i="18"/>
  <c r="F30" i="18"/>
  <c r="G6" i="24"/>
  <c r="G7" i="24"/>
  <c r="F41" i="18"/>
  <c r="F48" i="18"/>
  <c r="F36" i="18"/>
  <c r="F68" i="18"/>
  <c r="F54" i="18"/>
  <c r="F67" i="18"/>
  <c r="G22" i="21"/>
  <c r="G10" i="21"/>
  <c r="F18" i="18"/>
  <c r="G15" i="21"/>
  <c r="F19" i="18"/>
  <c r="G25" i="21"/>
  <c r="F14" i="18"/>
  <c r="C15" i="21"/>
  <c r="C8" i="21"/>
  <c r="F49" i="18"/>
  <c r="F85" i="18"/>
  <c r="F79" i="18"/>
  <c r="F53" i="18"/>
  <c r="F9" i="18"/>
  <c r="F16" i="18"/>
  <c r="G26" i="21"/>
  <c r="F86" i="18"/>
  <c r="F20" i="18"/>
  <c r="F99" i="18"/>
  <c r="F46" i="18"/>
  <c r="G28" i="21"/>
  <c r="J6" i="24"/>
  <c r="F29" i="18"/>
  <c r="F32" i="18"/>
  <c r="F90" i="18"/>
  <c r="F57" i="18"/>
  <c r="F111" i="18"/>
  <c r="F51" i="18"/>
  <c r="F76" i="18"/>
  <c r="F24" i="18"/>
  <c r="C23" i="21"/>
  <c r="F62" i="18"/>
  <c r="G16" i="21"/>
  <c r="F78" i="18"/>
  <c r="F70" i="18"/>
  <c r="F47" i="18"/>
  <c r="F94" i="18"/>
  <c r="C10" i="21"/>
  <c r="G23" i="21"/>
  <c r="F10" i="18"/>
  <c r="F31" i="18"/>
  <c r="F63" i="18"/>
  <c r="F80" i="18"/>
  <c r="AV15" i="25" l="1"/>
  <c r="AV17" i="25"/>
  <c r="AV6" i="25"/>
  <c r="AV12" i="25"/>
  <c r="AV11" i="25"/>
  <c r="AV19" i="25"/>
  <c r="I29" i="24"/>
  <c r="AV20" i="25"/>
  <c r="AV8" i="25"/>
  <c r="AV5" i="25"/>
  <c r="AV7" i="25"/>
  <c r="AV10" i="25"/>
  <c r="G27" i="21"/>
  <c r="D8" i="24"/>
  <c r="D12" i="24" s="1"/>
  <c r="C17" i="21"/>
  <c r="C27" i="21"/>
  <c r="G17" i="21"/>
  <c r="D65" i="18"/>
  <c r="D34" i="18"/>
  <c r="D15" i="18"/>
  <c r="C13" i="24"/>
  <c r="AV16" i="25"/>
  <c r="AV13" i="25"/>
  <c r="AV18" i="25"/>
  <c r="AV4" i="25"/>
  <c r="AW4" i="25" s="1"/>
  <c r="F65" i="18"/>
  <c r="G12" i="24"/>
  <c r="G15" i="24"/>
  <c r="C25" i="21"/>
  <c r="F15" i="18"/>
  <c r="F34" i="18"/>
  <c r="AW5" i="25" l="1"/>
  <c r="AW6" i="25" s="1"/>
  <c r="AW7" i="25" s="1"/>
  <c r="AW8" i="25" s="1"/>
  <c r="AW9" i="25" s="1"/>
  <c r="AW10" i="25" s="1"/>
  <c r="AW11" i="25" s="1"/>
  <c r="AW12" i="25" s="1"/>
  <c r="D73" i="18"/>
  <c r="J12" i="24"/>
  <c r="D13" i="24" s="1"/>
  <c r="J15" i="24"/>
  <c r="AW13" i="25"/>
  <c r="AW14" i="25" s="1"/>
  <c r="AW15" i="25" s="1"/>
  <c r="AW16" i="25" s="1"/>
  <c r="AW17" i="25" s="1"/>
  <c r="AW18" i="25" s="1"/>
  <c r="AX4" i="25"/>
  <c r="AX7" i="25"/>
  <c r="AX5" i="25"/>
  <c r="AX8" i="25"/>
  <c r="AX13" i="25"/>
  <c r="AX14" i="25"/>
  <c r="AX15" i="25"/>
  <c r="T42" i="24" s="1"/>
  <c r="D44" i="24" s="1"/>
  <c r="D45" i="24" s="1"/>
  <c r="D46" i="24" s="1"/>
  <c r="AX9" i="25"/>
  <c r="AX6" i="25"/>
  <c r="AX10" i="25"/>
  <c r="AX12" i="25"/>
  <c r="AX11" i="25"/>
  <c r="D15" i="24"/>
  <c r="J35" i="24" s="1"/>
  <c r="J20" i="24"/>
  <c r="F73" i="18"/>
  <c r="D81" i="18" l="1"/>
  <c r="D100" i="18"/>
  <c r="AW19" i="25"/>
  <c r="AW20" i="25" s="1"/>
  <c r="AX18" i="25"/>
  <c r="D16" i="24"/>
  <c r="D30" i="24" s="1"/>
  <c r="K30" i="24" s="1"/>
  <c r="AX17" i="25"/>
  <c r="AX16" i="25"/>
  <c r="D29" i="24"/>
  <c r="D48" i="24"/>
  <c r="D49" i="24" s="1"/>
  <c r="F100" i="18"/>
  <c r="F81" i="18"/>
  <c r="AX20" i="25" l="1"/>
  <c r="D87" i="18"/>
  <c r="AX19" i="25"/>
  <c r="K26" i="24"/>
  <c r="D32" i="24"/>
  <c r="D34" i="24" s="1"/>
  <c r="AZ7" i="25"/>
  <c r="F87" i="18"/>
</calcChain>
</file>

<file path=xl/sharedStrings.xml><?xml version="1.0" encoding="utf-8"?>
<sst xmlns="http://schemas.openxmlformats.org/spreadsheetml/2006/main" count="651" uniqueCount="325">
  <si>
    <t>Enthalpy</t>
  </si>
  <si>
    <t>Temperature</t>
  </si>
  <si>
    <t xml:space="preserve">Specific entropy </t>
  </si>
  <si>
    <t>Density</t>
  </si>
  <si>
    <t xml:space="preserve">Specific internal energy </t>
  </si>
  <si>
    <t xml:space="preserve">Specific isobaric heat capacity </t>
  </si>
  <si>
    <t xml:space="preserve">Speed of sound </t>
  </si>
  <si>
    <t xml:space="preserve">Specific isochoric heat capacity </t>
  </si>
  <si>
    <t>Pressure</t>
  </si>
  <si>
    <t>Saturation temperature</t>
  </si>
  <si>
    <t>Saturation pressure</t>
  </si>
  <si>
    <t>Specific volume</t>
  </si>
  <si>
    <t>Saturated vapour enthalpy</t>
  </si>
  <si>
    <t>Saturated vapour volume</t>
  </si>
  <si>
    <t>Saturated vapour density</t>
  </si>
  <si>
    <t>Saturated vapour entropy</t>
  </si>
  <si>
    <t>Saturated vapour internal energy</t>
  </si>
  <si>
    <t>Saturated liquid enthalpy</t>
  </si>
  <si>
    <t>Saturated liquid volume</t>
  </si>
  <si>
    <t>Saturated liquid density</t>
  </si>
  <si>
    <t>Saturated liquid entropy</t>
  </si>
  <si>
    <t>Saturated liquid internal energy</t>
  </si>
  <si>
    <t xml:space="preserve">Saturated liquid heat capacity </t>
  </si>
  <si>
    <t xml:space="preserve">Saturated vapour heat capacity </t>
  </si>
  <si>
    <t>Saturated liquid isochoric heat capacity</t>
  </si>
  <si>
    <t>Saturated vapour isochoric heat capacity</t>
  </si>
  <si>
    <t>Saturated liquid speed of sound</t>
  </si>
  <si>
    <t>Saturated vapour speed of sound</t>
  </si>
  <si>
    <t>Vapour fraction</t>
  </si>
  <si>
    <t>%</t>
  </si>
  <si>
    <t>gets close to the accurancy of steam IF-97</t>
  </si>
  <si>
    <t>Viscosity in the mixed region (4) is interpolated according to the density. This is not true since it will be two fases.</t>
  </si>
  <si>
    <t>OBS: This workbook uses macros. Set security options in Tools:Macro:Security… to enable macros.</t>
  </si>
  <si>
    <t>Temperture as a function of pressure and enthalpy</t>
  </si>
  <si>
    <t>Temperture as a function of pressure and entropy</t>
  </si>
  <si>
    <t>Entalpy as a function of pressure and temperature.</t>
  </si>
  <si>
    <t>Entalpy as a function of pressure and entropy.</t>
  </si>
  <si>
    <t>Observe that vapour volume fraction is very sensitive. Vapour volume is about 1000 times greater than liquid volume and therfore vapour volume fraction</t>
  </si>
  <si>
    <t>The steam tables are free and provided as is. We take no responsibilities for any errors in the code or damage thereby.</t>
  </si>
  <si>
    <t>X Steam Tables</t>
  </si>
  <si>
    <t>http://www.x-eng.com</t>
  </si>
  <si>
    <t xml:space="preserve">Steam tables by Magnus Holmgren according to IAPWS IF-97 </t>
  </si>
  <si>
    <t xml:space="preserve">Pressure as a function of h and s. </t>
  </si>
  <si>
    <t>magnus@x-eng.com</t>
  </si>
  <si>
    <t>Entalpy as a function of pressure and vapour fraction</t>
  </si>
  <si>
    <t>Entalpy as a function of temperature and vapour fraction</t>
  </si>
  <si>
    <t>Temperture as a function of enthalpy and entropy</t>
  </si>
  <si>
    <t>Specific volume as a function of pressure and temperature.</t>
  </si>
  <si>
    <t>Specific volume as a function of pressure and enthalpy</t>
  </si>
  <si>
    <t>Specific volume as a function of pressure and entropy.</t>
  </si>
  <si>
    <t>Density as a function of pressure and temperature.</t>
  </si>
  <si>
    <t>Density as a function of pressure and enthalpy</t>
  </si>
  <si>
    <t>Density as a function of pressure and entropy.</t>
  </si>
  <si>
    <t>Specific entropy as a function of pressure and enthalpy</t>
  </si>
  <si>
    <t>Specific internal energy as a function of pressure and temperature.</t>
  </si>
  <si>
    <t>Specific internal energy as a function of pressure and enthalpy</t>
  </si>
  <si>
    <t>Specific internal energy as a function of pressure and entropy.</t>
  </si>
  <si>
    <t>Specific isobaric heat capacity as a function of pressure and temperature.</t>
  </si>
  <si>
    <t>Specific isobaric heat capacity as a function of pressure and enthalpy</t>
  </si>
  <si>
    <t>Specific isobaric heat capacity as a function of pressure and entropy.</t>
  </si>
  <si>
    <t>Specific isochoric heat capacity as a function of pressure and temperature.</t>
  </si>
  <si>
    <t>Specific isochoric heat capacity as a function of pressure and enthalpy</t>
  </si>
  <si>
    <t>Specific isochoric heat capacity as a function of pressure and entropy.</t>
  </si>
  <si>
    <t>Speed of sound as a function of pressure and temperature.</t>
  </si>
  <si>
    <t>Speed of sound as a function of pressure and enthalpy</t>
  </si>
  <si>
    <t>Speed of sound as a function of pressure and entropy.</t>
  </si>
  <si>
    <t>Viscosity as a function of pressure and temperature.</t>
  </si>
  <si>
    <t>Viscosity as a function of pressure and enthalpy</t>
  </si>
  <si>
    <t>Viscosity as a function of pressure and entropy.</t>
  </si>
  <si>
    <t>Vapour fraction as a function of pressure and enthalpy</t>
  </si>
  <si>
    <t>Vapour fraction as a function of pressure and entropy.</t>
  </si>
  <si>
    <t>Vapour volume fraction as a function of pressure and enthalpy</t>
  </si>
  <si>
    <t>Vapour volume fraction as a function of pressure and entropy.</t>
  </si>
  <si>
    <t>* Calling functions of h and s added.</t>
  </si>
  <si>
    <t>* Calling functions h_px and h_tx added.</t>
  </si>
  <si>
    <t>* Cp, Cv and w undefined in the mixed region. (Before interpolation with the vapor fraction was used.)</t>
  </si>
  <si>
    <t>* A work sheet "Properties" for simple lookups added.</t>
  </si>
  <si>
    <t>Vapour Volume Fraction</t>
  </si>
  <si>
    <t>Specific entropy as a function of pressure and temperature (Returns saturated vapour entalpy if mixture.)</t>
  </si>
  <si>
    <t>Thermal Conductivity</t>
  </si>
  <si>
    <t>Revised release on the IAPS Formulation 1985 for the Thermal Conductivity of ordinary water substance (IAPWS 1998)</t>
  </si>
  <si>
    <t>Saturated vapour thermal conductivity</t>
  </si>
  <si>
    <t>Saturated liquid thermal conductivity</t>
  </si>
  <si>
    <t>Thermal conductivity as a function of pressure and temperature.</t>
  </si>
  <si>
    <t>Thermal conductivity as a function of pressure and enthalpy</t>
  </si>
  <si>
    <t>Thermal conductivity as a function of enthalpy and entropy</t>
  </si>
  <si>
    <t>Surface Tension</t>
  </si>
  <si>
    <t>IAPWS Release on Surface Tension of Ordinary Water Substance, September 1994</t>
  </si>
  <si>
    <t>* Thermal conductivity, Surface tension added</t>
  </si>
  <si>
    <t>Surface tension for two phase water/steam as a function of T</t>
  </si>
  <si>
    <t>The excel scripts are stored inside this workbook. (No extra files are needed. Start from a copy of this workbook. This page can be removed)</t>
  </si>
  <si>
    <t>For error-reporting, feedback, other units etc. contact:</t>
  </si>
  <si>
    <t>Entalpy as a function of pressure and density. Observe for low temperatures (liquid) this equation has 2 solutions. (Not valid!!)</t>
  </si>
  <si>
    <t xml:space="preserve">Excel macros, IF-97 Steam tables. </t>
  </si>
  <si>
    <t>The excel scripts are stored inside this workbook. A complete list of functions for use is available on the "Calling functions" worksheet</t>
  </si>
  <si>
    <t>By: Magnus Holmgren</t>
  </si>
  <si>
    <t>www.x-eng.com</t>
  </si>
  <si>
    <t>Saturation properties given temperature</t>
  </si>
  <si>
    <t>Saturation properties given pressure</t>
  </si>
  <si>
    <t>Liquid</t>
  </si>
  <si>
    <t>Entropy</t>
  </si>
  <si>
    <t>Vapour</t>
  </si>
  <si>
    <t>Vapour enthalpy</t>
  </si>
  <si>
    <t>Vapour density</t>
  </si>
  <si>
    <t>Vapour Entropy</t>
  </si>
  <si>
    <t>vapour Entropy</t>
  </si>
  <si>
    <t>Evaporation energy</t>
  </si>
  <si>
    <t>Properties given pressure and temperature</t>
  </si>
  <si>
    <t>Properties given pressure and enthalpy</t>
  </si>
  <si>
    <t>IF97 Region</t>
  </si>
  <si>
    <t>Phase</t>
  </si>
  <si>
    <t xml:space="preserve">Isobaric heat capacity </t>
  </si>
  <si>
    <t>Speed of sound</t>
  </si>
  <si>
    <t>* Calling function h_prho</t>
  </si>
  <si>
    <t>* Fixed problem with Cv reporting NaN in region 5.</t>
  </si>
  <si>
    <t>* Equivivalent to the Matlab version. (Downloadable from www.x-eng.com)</t>
  </si>
  <si>
    <t>News in V2</t>
  </si>
  <si>
    <t>News in V2.1</t>
  </si>
  <si>
    <t>Prandtl</t>
  </si>
  <si>
    <t>Pressure as a function of h and rho (density). Very unaccurate for solid water region since it's almost incompressible!</t>
  </si>
  <si>
    <t>News in V2.2</t>
  </si>
  <si>
    <t>* Function p_hrho added. (Very good for calcualting pressure when heating a volume with water/steam mixture.)</t>
  </si>
  <si>
    <t>* Fixed error in Cp_ph</t>
  </si>
  <si>
    <t>Dynamic Viscosity</t>
  </si>
  <si>
    <t>Calcualted as Cp*my/tc</t>
  </si>
  <si>
    <t>* Prandtl number added</t>
  </si>
  <si>
    <t>* Extensive testing</t>
  </si>
  <si>
    <t>-</t>
  </si>
  <si>
    <t>Version history</t>
  </si>
  <si>
    <t>* Fixed error in T_hs return no value for vet region bellow the water saturation line.</t>
  </si>
  <si>
    <t>News in V2.3</t>
  </si>
  <si>
    <t>* my_ph not defined in region 4.</t>
  </si>
  <si>
    <t>* Problems at region border for h4V_p to adress solver problems at the exact border.</t>
  </si>
  <si>
    <t>* Option Explicit, gives more efficient calculations.</t>
  </si>
  <si>
    <t>* Problem at fast border check in region_ph fixed.</t>
  </si>
  <si>
    <t>psi (a)</t>
  </si>
  <si>
    <t>degF</t>
  </si>
  <si>
    <t>btu/lb</t>
  </si>
  <si>
    <t>lb /ft3</t>
  </si>
  <si>
    <t>btu/(lb F)</t>
  </si>
  <si>
    <t>X Steam Tables  (English Units)</t>
  </si>
  <si>
    <t>deg F</t>
  </si>
  <si>
    <t>ft3/lb</t>
  </si>
  <si>
    <t>lb/ft3</t>
  </si>
  <si>
    <t>lb/ft/hr</t>
  </si>
  <si>
    <t>ft/s</t>
  </si>
  <si>
    <t>btu/(h*ft*F)</t>
  </si>
  <si>
    <t>lb/ft</t>
  </si>
  <si>
    <t>psi</t>
  </si>
  <si>
    <t>News in V2.4</t>
  </si>
  <si>
    <t>* OpenOffice version introduced. (Fixed calculation differences in open office and excel)</t>
  </si>
  <si>
    <t>* Matlab error giving varaible undefined in some backwards solutions fixed.</t>
  </si>
  <si>
    <t xml:space="preserve"> T_ph</t>
  </si>
  <si>
    <t xml:space="preserve"> T_ps</t>
  </si>
  <si>
    <t xml:space="preserve"> T_hs</t>
  </si>
  <si>
    <t xml:space="preserve"> p_hs</t>
  </si>
  <si>
    <t xml:space="preserve"> p_hrho</t>
  </si>
  <si>
    <t xml:space="preserve"> h_pT</t>
  </si>
  <si>
    <t xml:space="preserve"> psat_T</t>
  </si>
  <si>
    <t xml:space="preserve"> h_ps</t>
  </si>
  <si>
    <t xml:space="preserve"> Tsat_p</t>
  </si>
  <si>
    <t xml:space="preserve"> h_px</t>
  </si>
  <si>
    <t xml:space="preserve"> hV_p</t>
  </si>
  <si>
    <t xml:space="preserve"> h_Tx</t>
  </si>
  <si>
    <t xml:space="preserve"> hL_p</t>
  </si>
  <si>
    <t xml:space="preserve"> h_prho</t>
  </si>
  <si>
    <t xml:space="preserve"> hV_T</t>
  </si>
  <si>
    <t xml:space="preserve"> hL_T</t>
  </si>
  <si>
    <t xml:space="preserve"> v_pT</t>
  </si>
  <si>
    <t xml:space="preserve"> v_ph</t>
  </si>
  <si>
    <t xml:space="preserve"> vV_p</t>
  </si>
  <si>
    <t xml:space="preserve"> v_ps</t>
  </si>
  <si>
    <t xml:space="preserve"> vL_p</t>
  </si>
  <si>
    <t xml:space="preserve"> vV_T</t>
  </si>
  <si>
    <t xml:space="preserve"> rho_pT</t>
  </si>
  <si>
    <t xml:space="preserve"> vL_T</t>
  </si>
  <si>
    <t xml:space="preserve"> rho_ph</t>
  </si>
  <si>
    <t xml:space="preserve"> rho_ps</t>
  </si>
  <si>
    <t xml:space="preserve"> rhoV_p</t>
  </si>
  <si>
    <t xml:space="preserve"> rhoL_p</t>
  </si>
  <si>
    <t xml:space="preserve"> s_pT</t>
  </si>
  <si>
    <t xml:space="preserve"> rhoV_T</t>
  </si>
  <si>
    <t xml:space="preserve"> s_ph</t>
  </si>
  <si>
    <t xml:space="preserve"> rhoL_T</t>
  </si>
  <si>
    <t xml:space="preserve"> u_pT</t>
  </si>
  <si>
    <t xml:space="preserve"> sV_p</t>
  </si>
  <si>
    <t xml:space="preserve"> u_ph</t>
  </si>
  <si>
    <t xml:space="preserve"> sL_p</t>
  </si>
  <si>
    <t xml:space="preserve"> u_ps</t>
  </si>
  <si>
    <t xml:space="preserve"> sV_T</t>
  </si>
  <si>
    <t xml:space="preserve"> sL_T</t>
  </si>
  <si>
    <t xml:space="preserve"> Cp_pT</t>
  </si>
  <si>
    <t xml:space="preserve"> Cp_ph</t>
  </si>
  <si>
    <t xml:space="preserve"> uV_p</t>
  </si>
  <si>
    <t xml:space="preserve"> Cp_ps</t>
  </si>
  <si>
    <t xml:space="preserve"> uL_p</t>
  </si>
  <si>
    <t xml:space="preserve"> uV_T</t>
  </si>
  <si>
    <t xml:space="preserve"> Cv_pT</t>
  </si>
  <si>
    <t xml:space="preserve"> uL_T</t>
  </si>
  <si>
    <t xml:space="preserve"> Cv_ph</t>
  </si>
  <si>
    <t xml:space="preserve"> Cv_ps</t>
  </si>
  <si>
    <t xml:space="preserve"> CpV_p</t>
  </si>
  <si>
    <t xml:space="preserve"> CpL_p</t>
  </si>
  <si>
    <t xml:space="preserve"> w_pT</t>
  </si>
  <si>
    <t xml:space="preserve"> CpV_T</t>
  </si>
  <si>
    <t xml:space="preserve"> w_ph</t>
  </si>
  <si>
    <t xml:space="preserve"> CpL_T</t>
  </si>
  <si>
    <t xml:space="preserve"> w_ps</t>
  </si>
  <si>
    <t xml:space="preserve"> CvV_p</t>
  </si>
  <si>
    <t xml:space="preserve"> my_pT</t>
  </si>
  <si>
    <t xml:space="preserve"> CvL_p</t>
  </si>
  <si>
    <t xml:space="preserve"> my_ph</t>
  </si>
  <si>
    <t xml:space="preserve"> CvV_T</t>
  </si>
  <si>
    <t xml:space="preserve"> my_ps</t>
  </si>
  <si>
    <t xml:space="preserve"> CvL_T</t>
  </si>
  <si>
    <t xml:space="preserve"> tc_pT</t>
  </si>
  <si>
    <t xml:space="preserve"> wV_p</t>
  </si>
  <si>
    <t xml:space="preserve"> tc_ph</t>
  </si>
  <si>
    <t xml:space="preserve"> wL_p</t>
  </si>
  <si>
    <t xml:space="preserve"> tc_hs</t>
  </si>
  <si>
    <t xml:space="preserve"> wV_T</t>
  </si>
  <si>
    <t xml:space="preserve"> wL_T</t>
  </si>
  <si>
    <t xml:space="preserve"> x_ph</t>
  </si>
  <si>
    <t xml:space="preserve"> x_ps</t>
  </si>
  <si>
    <t xml:space="preserve"> tcL_p</t>
  </si>
  <si>
    <t xml:space="preserve"> tcV_p</t>
  </si>
  <si>
    <t xml:space="preserve"> vx_ph</t>
  </si>
  <si>
    <t xml:space="preserve"> tcL_T</t>
  </si>
  <si>
    <t xml:space="preserve"> vx_ps</t>
  </si>
  <si>
    <t xml:space="preserve"> tcV_T</t>
  </si>
  <si>
    <t xml:space="preserve"> st_T</t>
  </si>
  <si>
    <t xml:space="preserve"> st_p</t>
  </si>
  <si>
    <t>* DLL distrubution for use in other applications</t>
  </si>
  <si>
    <t>* Freebasic translation</t>
  </si>
  <si>
    <t>* Fixed small error in Cv Region 5 p&gt;1000bar</t>
  </si>
  <si>
    <t>Viscosity is not part of IAPWS Steam IF97. Equations from ""Revised Release on the IAPWS Formulation 1985 for the Viscosity of Ordinary Water Substance"", 2003 are used.</t>
  </si>
  <si>
    <t xml:space="preserve"> pr_pT</t>
  </si>
  <si>
    <t xml:space="preserve"> pr_ph</t>
  </si>
  <si>
    <t>News in V2.5</t>
  </si>
  <si>
    <t>News in V2.4a</t>
  </si>
  <si>
    <t>Fixed unit conversion in T_ps region4 (No effekt for SI units.)</t>
  </si>
  <si>
    <t>* TODO!!! Check Cv in region 5</t>
  </si>
  <si>
    <t>* ToDO!!! Tc och my not def. In region 4</t>
  </si>
  <si>
    <t>* A work sheet ""Properties"" for simple lookups added.</t>
  </si>
  <si>
    <t>News in V2.6</t>
  </si>
  <si>
    <t>* Error in valid region for function tc_ptrho</t>
  </si>
  <si>
    <t>* Error in function h3_pt for temperatures near the saturation point.</t>
  </si>
  <si>
    <t>v2.6</t>
  </si>
  <si>
    <t>Unit Preferences</t>
  </si>
  <si>
    <t>1: English 2: Metric</t>
  </si>
  <si>
    <t>Mass</t>
  </si>
  <si>
    <t>Length</t>
  </si>
  <si>
    <t>Flash Tank Sizing
Calculator</t>
  </si>
  <si>
    <t>Previous Unit</t>
  </si>
  <si>
    <t>Paste Values
 (non formulated)</t>
  </si>
  <si>
    <t>English</t>
  </si>
  <si>
    <t>Metric</t>
  </si>
  <si>
    <t>This excel sheet calculates the required volume of a flash tank.</t>
  </si>
  <si>
    <t>Energy</t>
  </si>
  <si>
    <t>Velocity</t>
  </si>
  <si>
    <t>Unit Conversion: 1 English unit to SI unit</t>
  </si>
  <si>
    <t>kg</t>
  </si>
  <si>
    <t>m</t>
  </si>
  <si>
    <t>bara</t>
  </si>
  <si>
    <t>kJ</t>
  </si>
  <si>
    <t>Sensible Heat</t>
  </si>
  <si>
    <t>Latent Heat</t>
  </si>
  <si>
    <t>psia</t>
  </si>
  <si>
    <t>Atm Pressure</t>
  </si>
  <si>
    <t xml:space="preserve"> %</t>
  </si>
  <si>
    <t>Process Pressure:</t>
  </si>
  <si>
    <t>Flash Tank Pressure:</t>
  </si>
  <si>
    <t>Percent Flash Steam:</t>
  </si>
  <si>
    <t>Steam Flowrate:</t>
  </si>
  <si>
    <t>Flash Steam Flowrate:</t>
  </si>
  <si>
    <t>Condensate Flowrate:</t>
  </si>
  <si>
    <t>Vessel Design Layout:</t>
  </si>
  <si>
    <t xml:space="preserve"> min(s)</t>
  </si>
  <si>
    <t>Design</t>
  </si>
  <si>
    <t>Liquid Retention/Surge Time:</t>
  </si>
  <si>
    <t>Length_inch</t>
  </si>
  <si>
    <t>in</t>
  </si>
  <si>
    <t>- exclude vol. of dished heads</t>
  </si>
  <si>
    <t xml:space="preserve"> </t>
  </si>
  <si>
    <t>O.D</t>
  </si>
  <si>
    <t>Pipe Size</t>
  </si>
  <si>
    <t>10S</t>
  </si>
  <si>
    <t>XXS</t>
  </si>
  <si>
    <t>STD</t>
  </si>
  <si>
    <t>40S</t>
  </si>
  <si>
    <t>80S</t>
  </si>
  <si>
    <t>XS</t>
  </si>
  <si>
    <t>Wall Thickness (inch)</t>
  </si>
  <si>
    <t>(inch)</t>
  </si>
  <si>
    <t>Flash Vent Line Sizing</t>
  </si>
  <si>
    <t>Norminal Diameter</t>
  </si>
  <si>
    <t xml:space="preserve"> in</t>
  </si>
  <si>
    <t>Schedule</t>
  </si>
  <si>
    <t>Schedule Range:</t>
  </si>
  <si>
    <t>Selected:</t>
  </si>
  <si>
    <t>5S</t>
  </si>
  <si>
    <t>Norminal Diameter:</t>
  </si>
  <si>
    <t>Pipe Schedule:</t>
  </si>
  <si>
    <t xml:space="preserve"> : See list in Pipe Chart (row for vlookup)</t>
  </si>
  <si>
    <t xml:space="preserve"> : See list in Pipe Chart (column for vlookup)</t>
  </si>
  <si>
    <t>Wall Thickness:</t>
  </si>
  <si>
    <t>Inside Cross Sectional Area:</t>
  </si>
  <si>
    <t xml:space="preserve"> in²</t>
  </si>
  <si>
    <t>Steam Velocity:</t>
  </si>
  <si>
    <t>Outside Diameter, OD:</t>
  </si>
  <si>
    <t>Internal Diameter, ID:</t>
  </si>
  <si>
    <t>User Calculations Sheet</t>
  </si>
  <si>
    <t>This is a blank sheet provided for the user to make notes, carry out calculations etc.</t>
  </si>
  <si>
    <t>Typical range: 3 ~ 5 mins</t>
  </si>
  <si>
    <t>Sizing Factor:</t>
  </si>
  <si>
    <t>Recommended: 1.5</t>
  </si>
  <si>
    <t>Specific Volume</t>
  </si>
  <si>
    <t>For Vertical Only</t>
  </si>
  <si>
    <t>Preferred Tank Diameter</t>
  </si>
  <si>
    <t>Area</t>
  </si>
  <si>
    <t>Height of Steam Section:</t>
  </si>
  <si>
    <t>Height of Condensate Section:</t>
  </si>
  <si>
    <t>Required Tank Height:</t>
  </si>
  <si>
    <t>Total Volume</t>
  </si>
  <si>
    <t>Copy Rights: Not to be copied or distributed without specific permission from Inveno Engineering LLC; kelly.paffel@invenoeng.com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</si>
</sst>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0E+00"/>
    <numFmt numFmtId="166" formatCode="0.0"/>
    <numFmt numFmtId="167" formatCode="0.000"/>
    <numFmt numFmtId="168" formatCode="#,##0.0"/>
    <numFmt numFmtId="169" formatCode="#,##0.000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8"/>
      <color indexed="12"/>
      <name val="Arial"/>
      <family val="2"/>
    </font>
    <font>
      <sz val="14"/>
      <name val="Arial"/>
      <family val="2"/>
    </font>
    <font>
      <b/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u/>
      <sz val="9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b/>
      <sz val="9"/>
      <color indexed="10"/>
      <name val="Symbol"/>
      <family val="1"/>
      <charset val="2"/>
    </font>
    <font>
      <i/>
      <sz val="8"/>
      <color indexed="60"/>
      <name val="Arial"/>
      <family val="2"/>
    </font>
    <font>
      <sz val="8"/>
      <color indexed="6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8"/>
      <color indexed="53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i/>
      <sz val="8"/>
      <color indexed="10"/>
      <name val="Arial"/>
      <family val="2"/>
    </font>
    <font>
      <i/>
      <sz val="8"/>
      <color indexed="60"/>
      <name val="Arial"/>
      <family val="2"/>
    </font>
    <font>
      <b/>
      <sz val="8"/>
      <color indexed="8"/>
      <name val="Arial"/>
      <family val="2"/>
    </font>
    <font>
      <b/>
      <sz val="14"/>
      <color indexed="56"/>
      <name val="Calibri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lightGray">
        <fgColor indexed="9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9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4" fillId="0" borderId="0" xfId="0" applyFont="1"/>
    <xf numFmtId="0" fontId="0" fillId="0" borderId="0" xfId="0" applyBorder="1"/>
    <xf numFmtId="164" fontId="1" fillId="0" borderId="0" xfId="0" applyNumberFormat="1" applyFont="1"/>
    <xf numFmtId="0" fontId="5" fillId="0" borderId="0" xfId="0" applyFont="1"/>
    <xf numFmtId="165" fontId="1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1" applyFont="1" applyAlignment="1" applyProtection="1"/>
    <xf numFmtId="0" fontId="12" fillId="0" borderId="0" xfId="1" applyFont="1" applyAlignment="1" applyProtection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13" fillId="0" borderId="0" xfId="0" applyFont="1"/>
    <xf numFmtId="0" fontId="9" fillId="0" borderId="0" xfId="1" applyFont="1" applyAlignment="1" applyProtection="1"/>
    <xf numFmtId="0" fontId="3" fillId="0" borderId="0" xfId="1" applyAlignment="1" applyProtection="1"/>
    <xf numFmtId="0" fontId="1" fillId="0" borderId="0" xfId="0" applyFont="1" applyFill="1" applyBorder="1"/>
    <xf numFmtId="167" fontId="0" fillId="0" borderId="0" xfId="0" applyNumberFormat="1" applyBorder="1"/>
    <xf numFmtId="2" fontId="0" fillId="0" borderId="0" xfId="0" applyNumberFormat="1" applyBorder="1"/>
    <xf numFmtId="166" fontId="0" fillId="0" borderId="0" xfId="0" applyNumberFormat="1" applyBorder="1"/>
    <xf numFmtId="0" fontId="1" fillId="0" borderId="1" xfId="0" applyFont="1" applyFill="1" applyBorder="1"/>
    <xf numFmtId="166" fontId="0" fillId="0" borderId="4" xfId="0" applyNumberFormat="1" applyBorder="1"/>
    <xf numFmtId="0" fontId="1" fillId="0" borderId="0" xfId="0" applyFont="1" applyBorder="1" applyAlignment="1">
      <alignment horizontal="center"/>
    </xf>
    <xf numFmtId="0" fontId="0" fillId="2" borderId="6" xfId="0" applyFill="1" applyBorder="1"/>
    <xf numFmtId="2" fontId="1" fillId="3" borderId="7" xfId="0" applyNumberFormat="1" applyFont="1" applyFill="1" applyBorder="1"/>
    <xf numFmtId="0" fontId="0" fillId="2" borderId="8" xfId="0" applyFill="1" applyBorder="1"/>
    <xf numFmtId="2" fontId="1" fillId="3" borderId="0" xfId="0" applyNumberFormat="1" applyFont="1" applyFill="1" applyBorder="1"/>
    <xf numFmtId="167" fontId="1" fillId="3" borderId="7" xfId="0" applyNumberFormat="1" applyFont="1" applyFill="1" applyBorder="1"/>
    <xf numFmtId="0" fontId="2" fillId="0" borderId="0" xfId="0" applyFont="1" applyBorder="1"/>
    <xf numFmtId="0" fontId="8" fillId="0" borderId="0" xfId="0" applyFont="1" applyBorder="1"/>
    <xf numFmtId="0" fontId="0" fillId="4" borderId="0" xfId="0" applyFill="1" applyBorder="1" applyAlignment="1">
      <alignment vertical="center"/>
    </xf>
    <xf numFmtId="0" fontId="6" fillId="5" borderId="0" xfId="0" applyFont="1" applyFill="1" applyAlignment="1" applyProtection="1">
      <alignment horizontal="right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right" vertical="center"/>
      <protection locked="0"/>
    </xf>
    <xf numFmtId="0" fontId="24" fillId="5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5" fillId="5" borderId="0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NumberFormat="1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167" fontId="5" fillId="5" borderId="0" xfId="0" applyNumberFormat="1" applyFont="1" applyFill="1" applyAlignment="1" applyProtection="1">
      <alignment horizontal="right" vertical="center"/>
      <protection locked="0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2" fontId="5" fillId="5" borderId="0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 applyProtection="1">
      <alignment vertical="center"/>
      <protection hidden="1"/>
    </xf>
    <xf numFmtId="0" fontId="20" fillId="5" borderId="0" xfId="0" applyFont="1" applyFill="1" applyBorder="1" applyAlignment="1">
      <alignment horizontal="center" vertical="center"/>
    </xf>
    <xf numFmtId="2" fontId="5" fillId="5" borderId="0" xfId="0" applyNumberFormat="1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 indent="2"/>
    </xf>
    <xf numFmtId="0" fontId="0" fillId="5" borderId="0" xfId="0" applyFill="1" applyBorder="1" applyAlignment="1">
      <alignment vertical="center"/>
    </xf>
    <xf numFmtId="12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8" fillId="7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12" fontId="5" fillId="4" borderId="11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12" fontId="28" fillId="7" borderId="12" xfId="0" applyNumberFormat="1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12" fontId="28" fillId="7" borderId="14" xfId="0" applyNumberFormat="1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left"/>
    </xf>
    <xf numFmtId="0" fontId="23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left" vertical="top"/>
    </xf>
    <xf numFmtId="12" fontId="5" fillId="4" borderId="0" xfId="0" applyNumberFormat="1" applyFont="1" applyFill="1" applyAlignment="1">
      <alignment horizontal="center" vertical="top"/>
    </xf>
    <xf numFmtId="0" fontId="22" fillId="4" borderId="0" xfId="0" applyNumberFormat="1" applyFont="1" applyFill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12" fontId="5" fillId="5" borderId="0" xfId="0" applyNumberFormat="1" applyFont="1" applyFill="1" applyBorder="1" applyAlignment="1">
      <alignment horizontal="center" vertical="center"/>
    </xf>
    <xf numFmtId="12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/>
    <xf numFmtId="0" fontId="5" fillId="4" borderId="0" xfId="0" quotePrefix="1" applyFont="1" applyFill="1" applyAlignment="1">
      <alignment horizontal="center" vertical="center"/>
    </xf>
    <xf numFmtId="0" fontId="22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0" fillId="5" borderId="0" xfId="0" applyFill="1" applyBorder="1" applyAlignment="1">
      <alignment vertical="top"/>
    </xf>
    <xf numFmtId="0" fontId="32" fillId="4" borderId="0" xfId="2" applyFont="1" applyFill="1" applyProtection="1"/>
    <xf numFmtId="0" fontId="33" fillId="4" borderId="0" xfId="2" applyFont="1" applyFill="1" applyProtection="1"/>
    <xf numFmtId="0" fontId="33" fillId="4" borderId="0" xfId="2" applyFont="1" applyFill="1" applyProtection="1">
      <protection locked="0"/>
    </xf>
    <xf numFmtId="1" fontId="5" fillId="5" borderId="0" xfId="0" applyNumberFormat="1" applyFont="1" applyFill="1" applyBorder="1" applyAlignment="1">
      <alignment horizontal="center" vertical="center"/>
    </xf>
    <xf numFmtId="2" fontId="5" fillId="5" borderId="0" xfId="0" applyNumberFormat="1" applyFont="1" applyFill="1" applyBorder="1" applyAlignment="1">
      <alignment horizontal="left" vertical="center"/>
    </xf>
    <xf numFmtId="0" fontId="16" fillId="4" borderId="0" xfId="0" applyFont="1" applyFill="1" applyBorder="1" applyAlignment="1" applyProtection="1">
      <alignment vertical="center"/>
      <protection hidden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15" fillId="4" borderId="16" xfId="0" applyFont="1" applyFill="1" applyBorder="1" applyAlignment="1" applyProtection="1">
      <alignment vertical="center"/>
      <protection hidden="1"/>
    </xf>
    <xf numFmtId="0" fontId="16" fillId="4" borderId="17" xfId="0" applyFont="1" applyFill="1" applyBorder="1" applyAlignment="1" applyProtection="1">
      <alignment vertical="center"/>
      <protection hidden="1"/>
    </xf>
    <xf numFmtId="0" fontId="16" fillId="4" borderId="18" xfId="0" applyFont="1" applyFill="1" applyBorder="1" applyAlignment="1" applyProtection="1">
      <alignment vertical="center"/>
      <protection hidden="1"/>
    </xf>
    <xf numFmtId="0" fontId="16" fillId="4" borderId="19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vertical="center"/>
      <protection hidden="1"/>
    </xf>
    <xf numFmtId="0" fontId="16" fillId="4" borderId="20" xfId="0" applyFont="1" applyFill="1" applyBorder="1" applyAlignment="1" applyProtection="1">
      <alignment vertical="center"/>
      <protection hidden="1"/>
    </xf>
    <xf numFmtId="0" fontId="18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horizontal="right" vertic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1" fontId="16" fillId="4" borderId="0" xfId="0" applyNumberFormat="1" applyFont="1" applyFill="1" applyBorder="1" applyAlignment="1" applyProtection="1">
      <alignment horizontal="center" vertical="center"/>
      <protection hidden="1"/>
    </xf>
    <xf numFmtId="0" fontId="25" fillId="4" borderId="20" xfId="0" applyFont="1" applyFill="1" applyBorder="1" applyAlignment="1" applyProtection="1">
      <alignment vertical="center"/>
      <protection hidden="1"/>
    </xf>
    <xf numFmtId="166" fontId="16" fillId="4" borderId="0" xfId="0" applyNumberFormat="1" applyFont="1" applyFill="1" applyBorder="1" applyAlignment="1" applyProtection="1">
      <alignment horizontal="center" vertical="center"/>
      <protection hidden="1"/>
    </xf>
    <xf numFmtId="166" fontId="16" fillId="4" borderId="0" xfId="0" applyNumberFormat="1" applyFont="1" applyFill="1" applyBorder="1" applyAlignment="1" applyProtection="1">
      <alignment vertical="center"/>
      <protection hidden="1"/>
    </xf>
    <xf numFmtId="3" fontId="16" fillId="4" borderId="0" xfId="0" applyNumberFormat="1" applyFont="1" applyFill="1" applyBorder="1" applyAlignment="1" applyProtection="1">
      <alignment horizontal="center" vertical="center"/>
      <protection hidden="1"/>
    </xf>
    <xf numFmtId="167" fontId="16" fillId="4" borderId="0" xfId="0" applyNumberFormat="1" applyFont="1" applyFill="1" applyBorder="1" applyAlignment="1" applyProtection="1">
      <alignment horizontal="center" vertical="center"/>
      <protection hidden="1"/>
    </xf>
    <xf numFmtId="2" fontId="16" fillId="4" borderId="0" xfId="0" applyNumberFormat="1" applyFont="1" applyFill="1" applyBorder="1" applyAlignment="1" applyProtection="1">
      <alignment horizontal="center" vertical="center"/>
      <protection hidden="1"/>
    </xf>
    <xf numFmtId="0" fontId="36" fillId="4" borderId="0" xfId="0" applyFont="1" applyFill="1" applyBorder="1" applyAlignment="1" applyProtection="1">
      <alignment horizontal="left" vertical="top" indent="1"/>
      <protection hidden="1"/>
    </xf>
    <xf numFmtId="4" fontId="16" fillId="4" borderId="0" xfId="0" applyNumberFormat="1" applyFont="1" applyFill="1" applyBorder="1" applyAlignment="1" applyProtection="1">
      <alignment horizontal="center" vertical="center"/>
      <protection hidden="1"/>
    </xf>
    <xf numFmtId="169" fontId="16" fillId="4" borderId="0" xfId="0" applyNumberFormat="1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left" vertical="center" indent="1"/>
      <protection hidden="1"/>
    </xf>
    <xf numFmtId="0" fontId="31" fillId="4" borderId="0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vertical="top"/>
      <protection hidden="1"/>
    </xf>
    <xf numFmtId="2" fontId="16" fillId="4" borderId="0" xfId="0" applyNumberFormat="1" applyFont="1" applyFill="1" applyBorder="1" applyAlignment="1" applyProtection="1">
      <alignment horizontal="center" vertical="top"/>
      <protection hidden="1"/>
    </xf>
    <xf numFmtId="0" fontId="5" fillId="4" borderId="0" xfId="0" applyFont="1" applyFill="1" applyBorder="1" applyAlignment="1" applyProtection="1">
      <alignment vertical="top"/>
      <protection hidden="1"/>
    </xf>
    <xf numFmtId="3" fontId="5" fillId="4" borderId="0" xfId="0" applyNumberFormat="1" applyFont="1" applyFill="1" applyBorder="1" applyAlignment="1" applyProtection="1">
      <alignment horizontal="left"/>
      <protection hidden="1"/>
    </xf>
    <xf numFmtId="0" fontId="27" fillId="4" borderId="0" xfId="0" applyFont="1" applyFill="1" applyBorder="1" applyAlignment="1" applyProtection="1">
      <alignment horizontal="left" vertical="top" indent="2"/>
      <protection hidden="1"/>
    </xf>
    <xf numFmtId="0" fontId="5" fillId="4" borderId="0" xfId="0" applyFont="1" applyFill="1" applyBorder="1" applyAlignment="1" applyProtection="1">
      <alignment horizontal="left" vertical="top"/>
      <protection hidden="1"/>
    </xf>
    <xf numFmtId="0" fontId="35" fillId="4" borderId="0" xfId="0" applyFont="1" applyFill="1" applyBorder="1" applyAlignment="1" applyProtection="1">
      <alignment horizontal="left" vertical="top" indent="2"/>
      <protection hidden="1"/>
    </xf>
    <xf numFmtId="0" fontId="6" fillId="4" borderId="0" xfId="0" applyFont="1" applyFill="1" applyBorder="1" applyAlignment="1" applyProtection="1">
      <alignment horizontal="left" indent="4"/>
      <protection hidden="1"/>
    </xf>
    <xf numFmtId="166" fontId="5" fillId="4" borderId="0" xfId="0" applyNumberFormat="1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18" fillId="4" borderId="0" xfId="0" applyFont="1" applyFill="1" applyBorder="1" applyAlignment="1" applyProtection="1">
      <alignment horizontal="center" vertical="top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168" fontId="5" fillId="4" borderId="0" xfId="0" applyNumberFormat="1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 vertical="top"/>
      <protection hidden="1"/>
    </xf>
    <xf numFmtId="2" fontId="5" fillId="4" borderId="0" xfId="0" applyNumberFormat="1" applyFont="1" applyFill="1" applyBorder="1" applyAlignment="1" applyProtection="1">
      <alignment horizontal="left" indent="2"/>
      <protection hidden="1"/>
    </xf>
    <xf numFmtId="0" fontId="5" fillId="4" borderId="0" xfId="0" applyFont="1" applyFill="1" applyBorder="1" applyAlignment="1" applyProtection="1">
      <alignment horizontal="left" vertical="top" indent="2"/>
      <protection hidden="1"/>
    </xf>
    <xf numFmtId="0" fontId="16" fillId="4" borderId="0" xfId="0" applyFont="1" applyFill="1" applyBorder="1" applyAlignment="1" applyProtection="1">
      <protection hidden="1"/>
    </xf>
    <xf numFmtId="3" fontId="5" fillId="4" borderId="0" xfId="0" applyNumberFormat="1" applyFont="1" applyFill="1" applyBorder="1" applyAlignment="1" applyProtection="1">
      <alignment horizontal="right" indent="1"/>
      <protection hidden="1"/>
    </xf>
    <xf numFmtId="2" fontId="26" fillId="4" borderId="0" xfId="0" quotePrefix="1" applyNumberFormat="1" applyFont="1" applyFill="1" applyBorder="1" applyAlignment="1" applyProtection="1">
      <alignment horizontal="left" vertical="top" indent="1"/>
      <protection hidden="1"/>
    </xf>
    <xf numFmtId="3" fontId="5" fillId="4" borderId="0" xfId="0" applyNumberFormat="1" applyFont="1" applyFill="1" applyBorder="1" applyAlignment="1" applyProtection="1">
      <alignment horizontal="left" indent="1"/>
      <protection hidden="1"/>
    </xf>
    <xf numFmtId="2" fontId="5" fillId="4" borderId="0" xfId="0" applyNumberFormat="1" applyFont="1" applyFill="1" applyBorder="1" applyAlignment="1" applyProtection="1">
      <alignment horizontal="left"/>
      <protection hidden="1"/>
    </xf>
    <xf numFmtId="2" fontId="34" fillId="4" borderId="0" xfId="0" applyNumberFormat="1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right" vertical="top" indent="1"/>
      <protection hidden="1"/>
    </xf>
    <xf numFmtId="0" fontId="5" fillId="4" borderId="0" xfId="0" applyFont="1" applyFill="1" applyBorder="1" applyAlignment="1" applyProtection="1">
      <alignment horizontal="left" vertical="top" indent="1"/>
      <protection hidden="1"/>
    </xf>
    <xf numFmtId="3" fontId="5" fillId="4" borderId="0" xfId="0" applyNumberFormat="1" applyFont="1" applyFill="1" applyBorder="1" applyAlignment="1" applyProtection="1">
      <alignment horizontal="right"/>
      <protection hidden="1"/>
    </xf>
    <xf numFmtId="0" fontId="18" fillId="4" borderId="0" xfId="0" applyFont="1" applyFill="1" applyBorder="1" applyAlignment="1" applyProtection="1">
      <protection hidden="1"/>
    </xf>
    <xf numFmtId="0" fontId="5" fillId="4" borderId="0" xfId="0" applyFont="1" applyFill="1" applyBorder="1" applyAlignment="1" applyProtection="1">
      <alignment horizontal="right" vertical="top"/>
      <protection hidden="1"/>
    </xf>
    <xf numFmtId="0" fontId="18" fillId="4" borderId="0" xfId="0" applyFont="1" applyFill="1" applyBorder="1" applyAlignment="1" applyProtection="1">
      <alignment vertical="center"/>
      <protection hidden="1"/>
    </xf>
    <xf numFmtId="0" fontId="16" fillId="4" borderId="19" xfId="0" applyFont="1" applyFill="1" applyBorder="1" applyAlignment="1" applyProtection="1">
      <alignment vertical="top"/>
      <protection hidden="1"/>
    </xf>
    <xf numFmtId="0" fontId="30" fillId="4" borderId="0" xfId="0" applyFont="1" applyFill="1" applyBorder="1" applyAlignment="1" applyProtection="1">
      <alignment vertical="top"/>
      <protection hidden="1"/>
    </xf>
    <xf numFmtId="0" fontId="16" fillId="4" borderId="0" xfId="0" applyFont="1" applyFill="1" applyBorder="1" applyAlignment="1" applyProtection="1">
      <alignment vertical="top"/>
      <protection hidden="1"/>
    </xf>
    <xf numFmtId="0" fontId="16" fillId="4" borderId="20" xfId="0" applyFont="1" applyFill="1" applyBorder="1" applyAlignment="1" applyProtection="1">
      <alignment vertical="top"/>
      <protection hidden="1"/>
    </xf>
    <xf numFmtId="0" fontId="27" fillId="4" borderId="0" xfId="0" applyFont="1" applyFill="1" applyBorder="1" applyAlignment="1" applyProtection="1">
      <alignment horizontal="left" vertical="center"/>
      <protection hidden="1"/>
    </xf>
    <xf numFmtId="2" fontId="16" fillId="4" borderId="0" xfId="0" applyNumberFormat="1" applyFont="1" applyFill="1" applyBorder="1" applyAlignment="1" applyProtection="1">
      <alignment horizontal="left" vertical="center"/>
      <protection hidden="1"/>
    </xf>
    <xf numFmtId="3" fontId="16" fillId="4" borderId="0" xfId="0" applyNumberFormat="1" applyFont="1" applyFill="1" applyBorder="1" applyAlignment="1" applyProtection="1">
      <alignment horizontal="left" vertical="center"/>
      <protection hidden="1"/>
    </xf>
    <xf numFmtId="2" fontId="29" fillId="4" borderId="0" xfId="0" applyNumberFormat="1" applyFont="1" applyFill="1" applyBorder="1" applyAlignment="1" applyProtection="1">
      <alignment horizontal="left" vertical="top"/>
      <protection hidden="1"/>
    </xf>
    <xf numFmtId="0" fontId="17" fillId="4" borderId="0" xfId="0" applyFont="1" applyFill="1" applyBorder="1" applyAlignment="1" applyProtection="1">
      <alignment horizontal="center" vertical="center"/>
      <protection hidden="1"/>
    </xf>
    <xf numFmtId="166" fontId="17" fillId="4" borderId="0" xfId="0" applyNumberFormat="1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vertical="center"/>
      <protection hidden="1"/>
    </xf>
    <xf numFmtId="0" fontId="16" fillId="4" borderId="22" xfId="0" applyFont="1" applyFill="1" applyBorder="1" applyAlignment="1" applyProtection="1">
      <alignment vertical="center"/>
      <protection hidden="1"/>
    </xf>
    <xf numFmtId="0" fontId="16" fillId="4" borderId="23" xfId="0" applyFont="1" applyFill="1" applyBorder="1" applyAlignment="1" applyProtection="1">
      <alignment vertical="center"/>
      <protection hidden="1"/>
    </xf>
    <xf numFmtId="166" fontId="16" fillId="6" borderId="24" xfId="0" applyNumberFormat="1" applyFont="1" applyFill="1" applyBorder="1" applyAlignment="1" applyProtection="1">
      <alignment horizontal="center" vertical="center"/>
      <protection locked="0"/>
    </xf>
    <xf numFmtId="3" fontId="16" fillId="6" borderId="24" xfId="0" applyNumberFormat="1" applyFont="1" applyFill="1" applyBorder="1" applyAlignment="1" applyProtection="1">
      <alignment horizontal="center" vertical="center"/>
      <protection locked="0"/>
    </xf>
    <xf numFmtId="1" fontId="16" fillId="6" borderId="24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vertical="top"/>
    </xf>
    <xf numFmtId="0" fontId="16" fillId="8" borderId="0" xfId="0" applyFont="1" applyFill="1" applyBorder="1" applyAlignment="1" applyProtection="1">
      <alignment vertical="center"/>
      <protection hidden="1"/>
    </xf>
    <xf numFmtId="0" fontId="5" fillId="8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center" vertical="center"/>
    </xf>
    <xf numFmtId="0" fontId="37" fillId="4" borderId="25" xfId="0" applyFont="1" applyFill="1" applyBorder="1" applyAlignment="1" applyProtection="1">
      <alignment horizontal="center" vertical="center" wrapText="1"/>
      <protection hidden="1"/>
    </xf>
    <xf numFmtId="0" fontId="37" fillId="4" borderId="26" xfId="0" applyFont="1" applyFill="1" applyBorder="1" applyAlignment="1" applyProtection="1">
      <alignment horizontal="center" vertical="center"/>
      <protection hidden="1"/>
    </xf>
    <xf numFmtId="0" fontId="37" fillId="4" borderId="27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wrapText="1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21" fillId="5" borderId="0" xfId="0" applyFont="1" applyFill="1" applyBorder="1" applyAlignment="1">
      <alignment horizontal="center" vertical="center"/>
    </xf>
    <xf numFmtId="12" fontId="38" fillId="7" borderId="28" xfId="0" applyNumberFormat="1" applyFont="1" applyFill="1" applyBorder="1" applyAlignment="1">
      <alignment horizontal="center"/>
    </xf>
    <xf numFmtId="12" fontId="38" fillId="7" borderId="29" xfId="0" applyNumberFormat="1" applyFont="1" applyFill="1" applyBorder="1" applyAlignment="1">
      <alignment horizontal="center"/>
    </xf>
    <xf numFmtId="12" fontId="38" fillId="7" borderId="3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00CC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0" dropStyle="combo" dx="16" fmlaLink="$S$41" fmlaRange="Pipe_Size" sel="17" val="16"/>
</file>

<file path=xl/ctrlProps/ctrlProp2.xml><?xml version="1.0" encoding="utf-8"?>
<formControlPr xmlns="http://schemas.microsoft.com/office/spreadsheetml/2009/9/main" objectType="Drop" dropStyle="combo" dx="16" fmlaLink="$S$42" fmlaRange="Schedule" sel="12" val="9"/>
</file>

<file path=xl/ctrlProps/ctrlProp3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Radio" checked="Checked" firstButton="1" fmlaLink="units_pref" lockText="1"/>
</file>

<file path=xl/ctrlProps/ctrlProp5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</xdr:row>
      <xdr:rowOff>47625</xdr:rowOff>
    </xdr:from>
    <xdr:to>
      <xdr:col>14</xdr:col>
      <xdr:colOff>200025</xdr:colOff>
      <xdr:row>1</xdr:row>
      <xdr:rowOff>657225</xdr:rowOff>
    </xdr:to>
    <xdr:grpSp>
      <xdr:nvGrpSpPr>
        <xdr:cNvPr id="42900" name="Group 1">
          <a:extLst>
            <a:ext uri="{FF2B5EF4-FFF2-40B4-BE49-F238E27FC236}">
              <a16:creationId xmlns:a16="http://schemas.microsoft.com/office/drawing/2014/main" id="{00000000-0008-0000-0000-000094A70000}"/>
            </a:ext>
          </a:extLst>
        </xdr:cNvPr>
        <xdr:cNvGrpSpPr>
          <a:grpSpLocks/>
        </xdr:cNvGrpSpPr>
      </xdr:nvGrpSpPr>
      <xdr:grpSpPr bwMode="auto">
        <a:xfrm>
          <a:off x="8804275" y="504825"/>
          <a:ext cx="1155700" cy="609600"/>
          <a:chOff x="6131732" y="57150"/>
          <a:chExt cx="1114855" cy="609600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150936" y="57150"/>
            <a:ext cx="1066801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900" b="1"/>
              <a:t>Unit</a:t>
            </a:r>
            <a:r>
              <a:rPr lang="en-GB" sz="900" b="1" baseline="0"/>
              <a:t> Preference</a:t>
            </a:r>
            <a:endParaRPr lang="en-GB" sz="900" b="1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7" name="Group Box 5" descr="1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000-0000050C0000}"/>
                  </a:ext>
                </a:extLst>
              </xdr:cNvPr>
              <xdr:cNvSpPr/>
            </xdr:nvSpPr>
            <xdr:spPr bwMode="auto">
              <a:xfrm>
                <a:off x="6131732" y="57150"/>
                <a:ext cx="1114855" cy="6096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81" name="Option Button 9" hidden="1">
                <a:extLst>
                  <a:ext uri="{63B3BB69-23CF-44E3-9099-C40C66FF867C}">
                    <a14:compatExt spid="_x0000_s3081"/>
                  </a:ext>
                  <a:ext uri="{FF2B5EF4-FFF2-40B4-BE49-F238E27FC236}">
                    <a16:creationId xmlns:a16="http://schemas.microsoft.com/office/drawing/2014/main" id="{00000000-0008-0000-0000-0000090C0000}"/>
                  </a:ext>
                </a:extLst>
              </xdr:cNvPr>
              <xdr:cNvSpPr/>
            </xdr:nvSpPr>
            <xdr:spPr bwMode="auto">
              <a:xfrm>
                <a:off x="6255692" y="238125"/>
                <a:ext cx="76200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English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82" name="Option Button 10" hidden="1">
                <a:extLst>
                  <a:ext uri="{63B3BB69-23CF-44E3-9099-C40C66FF867C}">
                    <a14:compatExt spid="_x0000_s3082"/>
                  </a:ext>
                  <a:ext uri="{FF2B5EF4-FFF2-40B4-BE49-F238E27FC236}">
                    <a16:creationId xmlns:a16="http://schemas.microsoft.com/office/drawing/2014/main" id="{00000000-0008-0000-0000-00000A0C0000}"/>
                  </a:ext>
                </a:extLst>
              </xdr:cNvPr>
              <xdr:cNvSpPr/>
            </xdr:nvSpPr>
            <xdr:spPr bwMode="auto">
              <a:xfrm>
                <a:off x="6255692" y="419100"/>
                <a:ext cx="7715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Metric</a:t>
                </a:r>
              </a:p>
            </xdr:txBody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6350</xdr:rowOff>
        </xdr:from>
        <xdr:to>
          <xdr:col>3</xdr:col>
          <xdr:colOff>565150</xdr:colOff>
          <xdr:row>40</xdr:row>
          <xdr:rowOff>222250</xdr:rowOff>
        </xdr:to>
        <xdr:sp macro="" textlink="">
          <xdr:nvSpPr>
            <xdr:cNvPr id="10630" name="Drop Down 5510" hidden="1">
              <a:extLst>
                <a:ext uri="{63B3BB69-23CF-44E3-9099-C40C66FF867C}">
                  <a14:compatExt spid="_x0000_s10630"/>
                </a:ext>
                <a:ext uri="{FF2B5EF4-FFF2-40B4-BE49-F238E27FC236}">
                  <a16:creationId xmlns:a16="http://schemas.microsoft.com/office/drawing/2014/main" id="{00000000-0008-0000-0000-000086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6350</xdr:rowOff>
        </xdr:from>
        <xdr:to>
          <xdr:col>3</xdr:col>
          <xdr:colOff>565150</xdr:colOff>
          <xdr:row>41</xdr:row>
          <xdr:rowOff>222250</xdr:rowOff>
        </xdr:to>
        <xdr:sp macro="" textlink="">
          <xdr:nvSpPr>
            <xdr:cNvPr id="11015" name="Drop Down 5895" hidden="1">
              <a:extLst>
                <a:ext uri="{63B3BB69-23CF-44E3-9099-C40C66FF867C}">
                  <a14:compatExt spid="_x0000_s11015"/>
                </a:ext>
                <a:ext uri="{FF2B5EF4-FFF2-40B4-BE49-F238E27FC236}">
                  <a16:creationId xmlns:a16="http://schemas.microsoft.com/office/drawing/2014/main" id="{00000000-0008-0000-0000-000007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533400</xdr:colOff>
      <xdr:row>17</xdr:row>
      <xdr:rowOff>19050</xdr:rowOff>
    </xdr:from>
    <xdr:to>
      <xdr:col>10</xdr:col>
      <xdr:colOff>466725</xdr:colOff>
      <xdr:row>34</xdr:row>
      <xdr:rowOff>161925</xdr:rowOff>
    </xdr:to>
    <xdr:grpSp>
      <xdr:nvGrpSpPr>
        <xdr:cNvPr id="42901" name="Group 11">
          <a:extLst>
            <a:ext uri="{FF2B5EF4-FFF2-40B4-BE49-F238E27FC236}">
              <a16:creationId xmlns:a16="http://schemas.microsoft.com/office/drawing/2014/main" id="{00000000-0008-0000-0000-000095A70000}"/>
            </a:ext>
          </a:extLst>
        </xdr:cNvPr>
        <xdr:cNvGrpSpPr>
          <a:grpSpLocks/>
        </xdr:cNvGrpSpPr>
      </xdr:nvGrpSpPr>
      <xdr:grpSpPr bwMode="auto">
        <a:xfrm>
          <a:off x="4381500" y="4476750"/>
          <a:ext cx="3260725" cy="4060825"/>
          <a:chOff x="4200525" y="4057649"/>
          <a:chExt cx="3152775" cy="4104178"/>
        </a:xfrm>
      </xdr:grpSpPr>
      <xdr:grpSp>
        <xdr:nvGrpSpPr>
          <xdr:cNvPr id="42902" name="Group 10">
            <a:extLst>
              <a:ext uri="{FF2B5EF4-FFF2-40B4-BE49-F238E27FC236}">
                <a16:creationId xmlns:a16="http://schemas.microsoft.com/office/drawing/2014/main" id="{00000000-0008-0000-0000-000096A70000}"/>
              </a:ext>
            </a:extLst>
          </xdr:cNvPr>
          <xdr:cNvGrpSpPr>
            <a:grpSpLocks/>
          </xdr:cNvGrpSpPr>
        </xdr:nvGrpSpPr>
        <xdr:grpSpPr bwMode="auto">
          <a:xfrm>
            <a:off x="4200525" y="4057649"/>
            <a:ext cx="3152775" cy="4104178"/>
            <a:chOff x="4200525" y="4057649"/>
            <a:chExt cx="3152775" cy="4104178"/>
          </a:xfrm>
        </xdr:grpSpPr>
        <xdr:sp macro="" textlink="">
          <xdr:nvSpPr>
            <xdr:cNvPr id="3185" name="Flowchart: Delay 3184">
              <a:extLs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 rot="5400000">
              <a:off x="5510333" y="6547593"/>
              <a:ext cx="904633" cy="1333500"/>
            </a:xfrm>
            <a:prstGeom prst="flowChartDelay">
              <a:avLst/>
            </a:prstGeom>
            <a:solidFill>
              <a:srgbClr val="0099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en-US"/>
            </a:p>
          </xdr:txBody>
        </xdr:sp>
        <xdr:pic>
          <xdr:nvPicPr>
            <xdr:cNvPr id="42905" name="Picture 67">
              <a:extLst>
                <a:ext uri="{FF2B5EF4-FFF2-40B4-BE49-F238E27FC236}">
                  <a16:creationId xmlns:a16="http://schemas.microsoft.com/office/drawing/2014/main" id="{00000000-0008-0000-0000-000099A7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54311" y="7658404"/>
              <a:ext cx="438719" cy="238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2906" name="Picture 66">
              <a:extLst>
                <a:ext uri="{FF2B5EF4-FFF2-40B4-BE49-F238E27FC236}">
                  <a16:creationId xmlns:a16="http://schemas.microsoft.com/office/drawing/2014/main" id="{00000000-0008-0000-0000-00009AA7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 rot="10800000">
              <a:off x="5719887" y="4855582"/>
              <a:ext cx="438719" cy="23810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2907" name="Picture 3175">
              <a:extLst>
                <a:ext uri="{FF2B5EF4-FFF2-40B4-BE49-F238E27FC236}">
                  <a16:creationId xmlns:a16="http://schemas.microsoft.com/office/drawing/2014/main" id="{00000000-0008-0000-0000-00009BA7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 rot="5400000">
              <a:off x="4964242" y="6265359"/>
              <a:ext cx="338935" cy="31084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Rounded Rectangle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 bwMode="auto">
            <a:xfrm>
              <a:off x="5276850" y="5086074"/>
              <a:ext cx="1371600" cy="2580585"/>
            </a:xfrm>
            <a:prstGeom prst="roundRect">
              <a:avLst>
                <a:gd name="adj" fmla="val 37963"/>
              </a:avLst>
            </a:prstGeom>
            <a:noFill/>
            <a:ln w="5715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en-US"/>
            </a:p>
          </xdr:txBody>
        </xdr:sp>
        <xdr:sp macro="" textlink="">
          <xdr:nvSpPr>
            <xdr:cNvPr id="3177" name="Rectangle 3176">
              <a:extLs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5200650" y="6381128"/>
              <a:ext cx="85725" cy="952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en-US"/>
            </a:p>
          </xdr:txBody>
        </xdr:sp>
        <xdr:sp macro="" textlink="">
          <xdr:nvSpPr>
            <xdr:cNvPr id="70" name="Rectangle 69">
              <a:extLst>
                <a:ext uri="{FF2B5EF4-FFF2-40B4-BE49-F238E27FC236}">
                  <a16:creationId xmlns:a16="http://schemas.microsoft.com/office/drawing/2014/main" id="{00000000-0008-0000-0000-000046000000}"/>
                </a:ext>
              </a:extLst>
            </xdr:cNvPr>
            <xdr:cNvSpPr/>
          </xdr:nvSpPr>
          <xdr:spPr bwMode="auto">
            <a:xfrm rot="5400000">
              <a:off x="5910271" y="5005114"/>
              <a:ext cx="57135" cy="14287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en-US"/>
            </a:p>
          </xdr:txBody>
        </xdr:sp>
        <xdr:sp macro="" textlink="">
          <xdr:nvSpPr>
            <xdr:cNvPr id="71" name="Rectangle 70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SpPr/>
          </xdr:nvSpPr>
          <xdr:spPr bwMode="auto">
            <a:xfrm rot="5400000">
              <a:off x="5948371" y="7614266"/>
              <a:ext cx="57135" cy="14287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en-US"/>
            </a:p>
          </xdr:txBody>
        </xdr:sp>
        <xdr:cxnSp macro="">
          <xdr:nvCxnSpPr>
            <xdr:cNvPr id="3184" name="Straight Connector 3183">
              <a:extLs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CxnSpPr/>
          </xdr:nvCxnSpPr>
          <xdr:spPr bwMode="auto">
            <a:xfrm>
              <a:off x="5314950" y="6771549"/>
              <a:ext cx="1285875" cy="0"/>
            </a:xfrm>
            <a:prstGeom prst="line">
              <a:avLst/>
            </a:prstGeom>
            <a:ln>
              <a:solidFill>
                <a:schemeClr val="tx2">
                  <a:lumMod val="75000"/>
                </a:schemeClr>
              </a:solidFill>
              <a:prstDash val="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186" name="TextBox 3185">
              <a:extLs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 txBox="1"/>
          </xdr:nvSpPr>
          <xdr:spPr bwMode="auto">
            <a:xfrm>
              <a:off x="5600700" y="6819161"/>
              <a:ext cx="714375" cy="32376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900" b="1">
                  <a:solidFill>
                    <a:schemeClr val="bg1">
                      <a:lumMod val="85000"/>
                    </a:schemeClr>
                  </a:solidFill>
                </a:rPr>
                <a:t>Liquid</a:t>
              </a:r>
            </a:p>
          </xdr:txBody>
        </xdr:sp>
        <xdr:cxnSp macro="">
          <xdr:nvCxnSpPr>
            <xdr:cNvPr id="95" name="Straight Arrow Connector 94">
              <a:extLst>
                <a:ext uri="{FF2B5EF4-FFF2-40B4-BE49-F238E27FC236}">
                  <a16:creationId xmlns:a16="http://schemas.microsoft.com/office/drawing/2014/main" id="{00000000-0008-0000-0000-00005F000000}"/>
                </a:ext>
              </a:extLst>
            </xdr:cNvPr>
            <xdr:cNvCxnSpPr/>
          </xdr:nvCxnSpPr>
          <xdr:spPr bwMode="auto">
            <a:xfrm>
              <a:off x="6781800" y="5533629"/>
              <a:ext cx="0" cy="1218874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 w="med" len="sm"/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2" name="Straight Connector 101">
              <a:extLst>
                <a:ext uri="{FF2B5EF4-FFF2-40B4-BE49-F238E27FC236}">
                  <a16:creationId xmlns:a16="http://schemas.microsoft.com/office/drawing/2014/main" id="{00000000-0008-0000-0000-000066000000}"/>
                </a:ext>
              </a:extLst>
            </xdr:cNvPr>
            <xdr:cNvCxnSpPr/>
          </xdr:nvCxnSpPr>
          <xdr:spPr bwMode="auto">
            <a:xfrm>
              <a:off x="5114925" y="5514585"/>
              <a:ext cx="1914525" cy="0"/>
            </a:xfrm>
            <a:prstGeom prst="line">
              <a:avLst/>
            </a:prstGeom>
            <a:ln>
              <a:solidFill>
                <a:schemeClr val="tx1">
                  <a:lumMod val="75000"/>
                  <a:lumOff val="2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2" name="Straight Arrow Connector 121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CxnSpPr/>
          </xdr:nvCxnSpPr>
          <xdr:spPr bwMode="auto">
            <a:xfrm flipV="1">
              <a:off x="5295900" y="6562055"/>
              <a:ext cx="1314450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 w="med" len="sm"/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09" name="Curved Connector 3208">
              <a:extLst>
                <a:ext uri="{FF2B5EF4-FFF2-40B4-BE49-F238E27FC236}">
                  <a16:creationId xmlns:a16="http://schemas.microsoft.com/office/drawing/2014/main" id="{00000000-0008-0000-0000-0000890C0000}"/>
                </a:ext>
              </a:extLst>
            </xdr:cNvPr>
            <xdr:cNvCxnSpPr/>
          </xdr:nvCxnSpPr>
          <xdr:spPr bwMode="auto">
            <a:xfrm rot="16200000" flipH="1">
              <a:off x="4662526" y="6119218"/>
              <a:ext cx="295196" cy="323850"/>
            </a:xfrm>
            <a:prstGeom prst="curvedConnector2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3" name="Curved Connector 142">
              <a:extLst>
                <a:ext uri="{FF2B5EF4-FFF2-40B4-BE49-F238E27FC236}">
                  <a16:creationId xmlns:a16="http://schemas.microsoft.com/office/drawing/2014/main" id="{00000000-0008-0000-0000-00008F000000}"/>
                </a:ext>
              </a:extLst>
            </xdr:cNvPr>
            <xdr:cNvCxnSpPr/>
          </xdr:nvCxnSpPr>
          <xdr:spPr bwMode="auto">
            <a:xfrm rot="5400000" flipH="1" flipV="1">
              <a:off x="5934114" y="4590864"/>
              <a:ext cx="295196" cy="314325"/>
            </a:xfrm>
            <a:prstGeom prst="curvedConnector2">
              <a:avLst/>
            </a:prstGeom>
            <a:ln w="19050">
              <a:solidFill>
                <a:srgbClr val="FF0000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4" name="Curved Connector 143">
              <a:extLst>
                <a:ext uri="{FF2B5EF4-FFF2-40B4-BE49-F238E27FC236}">
                  <a16:creationId xmlns:a16="http://schemas.microsoft.com/office/drawing/2014/main" id="{00000000-0008-0000-0000-000090000000}"/>
                </a:ext>
              </a:extLst>
            </xdr:cNvPr>
            <xdr:cNvCxnSpPr/>
          </xdr:nvCxnSpPr>
          <xdr:spPr bwMode="auto">
            <a:xfrm rot="16200000" flipH="1">
              <a:off x="5991264" y="7857066"/>
              <a:ext cx="295196" cy="314325"/>
            </a:xfrm>
            <a:prstGeom prst="curvedConnector2">
              <a:avLst/>
            </a:prstGeom>
            <a:ln w="19050">
              <a:solidFill>
                <a:schemeClr val="accent5">
                  <a:lumMod val="75000"/>
                </a:schemeClr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5" name="TextBox 144">
              <a:extLst>
                <a:ext uri="{FF2B5EF4-FFF2-40B4-BE49-F238E27FC236}">
                  <a16:creationId xmlns:a16="http://schemas.microsoft.com/office/drawing/2014/main" id="{00000000-0008-0000-0000-000091000000}"/>
                </a:ext>
              </a:extLst>
            </xdr:cNvPr>
            <xdr:cNvSpPr txBox="1"/>
          </xdr:nvSpPr>
          <xdr:spPr bwMode="auto">
            <a:xfrm>
              <a:off x="6210300" y="7866631"/>
              <a:ext cx="1076325" cy="2666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900" b="1">
                  <a:solidFill>
                    <a:schemeClr val="tx1"/>
                  </a:solidFill>
                </a:rPr>
                <a:t>Condensate Outlet</a:t>
              </a:r>
            </a:p>
          </xdr:txBody>
        </xdr:sp>
        <xdr:sp macro="" textlink="">
          <xdr:nvSpPr>
            <xdr:cNvPr id="146" name="TextBox 145">
              <a:extLst>
                <a:ext uri="{FF2B5EF4-FFF2-40B4-BE49-F238E27FC236}">
                  <a16:creationId xmlns:a16="http://schemas.microsoft.com/office/drawing/2014/main" id="{00000000-0008-0000-0000-000092000000}"/>
                </a:ext>
              </a:extLst>
            </xdr:cNvPr>
            <xdr:cNvSpPr txBox="1"/>
          </xdr:nvSpPr>
          <xdr:spPr bwMode="auto">
            <a:xfrm>
              <a:off x="6010275" y="4429025"/>
              <a:ext cx="1095375" cy="22853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900" b="1">
                  <a:solidFill>
                    <a:schemeClr val="tx1"/>
                  </a:solidFill>
                </a:rPr>
                <a:t>Flash Outlet</a:t>
              </a:r>
            </a:p>
          </xdr:txBody>
        </xdr:sp>
        <xdr:sp macro="" textlink="">
          <xdr:nvSpPr>
            <xdr:cNvPr id="147" name="TextBox 146">
              <a:extLst>
                <a:ext uri="{FF2B5EF4-FFF2-40B4-BE49-F238E27FC236}">
                  <a16:creationId xmlns:a16="http://schemas.microsoft.com/office/drawing/2014/main" id="{00000000-0008-0000-0000-000093000000}"/>
                </a:ext>
              </a:extLst>
            </xdr:cNvPr>
            <xdr:cNvSpPr txBox="1"/>
          </xdr:nvSpPr>
          <xdr:spPr bwMode="auto">
            <a:xfrm>
              <a:off x="4200525" y="5724079"/>
              <a:ext cx="676275" cy="2475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900" b="1">
                  <a:solidFill>
                    <a:schemeClr val="tx1"/>
                  </a:solidFill>
                </a:rPr>
                <a:t>Feed Inlet</a:t>
              </a:r>
            </a:p>
          </xdr:txBody>
        </xdr:sp>
        <xdr:cxnSp macro="">
          <xdr:nvCxnSpPr>
            <xdr:cNvPr id="38" name="Straight Arrow Connector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CxnSpPr/>
          </xdr:nvCxnSpPr>
          <xdr:spPr bwMode="auto">
            <a:xfrm>
              <a:off x="6781800" y="6781071"/>
              <a:ext cx="0" cy="485645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 w="med" len="sm"/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Straight Connector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CxnSpPr/>
          </xdr:nvCxnSpPr>
          <xdr:spPr bwMode="auto">
            <a:xfrm>
              <a:off x="5095875" y="6771549"/>
              <a:ext cx="1914525" cy="0"/>
            </a:xfrm>
            <a:prstGeom prst="line">
              <a:avLst/>
            </a:prstGeom>
            <a:ln>
              <a:solidFill>
                <a:schemeClr val="tx1">
                  <a:lumMod val="75000"/>
                  <a:lumOff val="2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SpPr txBox="1"/>
          </xdr:nvSpPr>
          <xdr:spPr bwMode="auto">
            <a:xfrm>
              <a:off x="4533900" y="4057649"/>
              <a:ext cx="2819400" cy="39994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>
                <a:lnSpc>
                  <a:spcPct val="150000"/>
                </a:lnSpc>
              </a:pPr>
              <a:r>
                <a:rPr lang="en-GB" sz="1200" b="1" u="sng">
                  <a:solidFill>
                    <a:schemeClr val="tx1">
                      <a:lumMod val="85000"/>
                      <a:lumOff val="15000"/>
                    </a:schemeClr>
                  </a:solidFill>
                  <a:latin typeface="+mj-lt"/>
                </a:rPr>
                <a:t>Vertical Drum Layout </a:t>
              </a:r>
            </a:p>
          </xdr:txBody>
        </xdr:sp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 bwMode="auto">
            <a:xfrm>
              <a:off x="5543550" y="5819303"/>
              <a:ext cx="819150" cy="457078"/>
            </a:xfrm>
            <a:prstGeom prst="rect">
              <a:avLst/>
            </a:prstGeom>
            <a:noFill/>
            <a:ln w="3175">
              <a:solidFill>
                <a:sysClr val="windowText" lastClr="000000"/>
              </a:solidFill>
            </a:ln>
            <a:effectLst/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>
                <a:lnSpc>
                  <a:spcPts val="1200"/>
                </a:lnSpc>
                <a:spcAft>
                  <a:spcPts val="0"/>
                </a:spcAft>
              </a:pPr>
              <a:r>
                <a:rPr lang="en-GB" sz="900" b="1">
                  <a:solidFill>
                    <a:sysClr val="windowText" lastClr="000000"/>
                  </a:solidFill>
                  <a:latin typeface="+mj-lt"/>
                </a:rPr>
                <a:t>Not Drawn To</a:t>
              </a:r>
              <a:r>
                <a:rPr lang="en-GB" sz="900" b="1" baseline="0">
                  <a:solidFill>
                    <a:sysClr val="windowText" lastClr="000000"/>
                  </a:solidFill>
                  <a:latin typeface="+mj-lt"/>
                </a:rPr>
                <a:t> Scale</a:t>
              </a:r>
            </a:p>
          </xdr:txBody>
        </xdr:sp>
      </xdr:grp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CxnSpPr/>
        </xdr:nvCxnSpPr>
        <xdr:spPr bwMode="auto">
          <a:xfrm>
            <a:off x="5114925" y="7276239"/>
            <a:ext cx="1914525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25399</xdr:colOff>
      <xdr:row>1</xdr:row>
      <xdr:rowOff>19050</xdr:rowOff>
    </xdr:from>
    <xdr:to>
      <xdr:col>3</xdr:col>
      <xdr:colOff>293726</xdr:colOff>
      <xdr:row>1</xdr:row>
      <xdr:rowOff>579120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339" y="476250"/>
          <a:ext cx="2363827" cy="560070"/>
        </a:xfrm>
        <a:prstGeom prst="rect">
          <a:avLst/>
        </a:prstGeom>
      </xdr:spPr>
    </xdr:pic>
    <xdr:clientData/>
  </xdr:twoCellAnchor>
  <xdr:twoCellAnchor>
    <xdr:from>
      <xdr:col>2</xdr:col>
      <xdr:colOff>736600</xdr:colOff>
      <xdr:row>1</xdr:row>
      <xdr:rowOff>476250</xdr:rowOff>
    </xdr:from>
    <xdr:to>
      <xdr:col>3</xdr:col>
      <xdr:colOff>171450</xdr:colOff>
      <xdr:row>1</xdr:row>
      <xdr:rowOff>692150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93800" y="476250"/>
          <a:ext cx="1397000" cy="215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www.invenoeng.com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x-eng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agnus@x-eng.com" TargetMode="External"/><Relationship Id="rId1" Type="http://schemas.openxmlformats.org/officeDocument/2006/relationships/hyperlink" Target="http://www.x-e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P202"/>
  <sheetViews>
    <sheetView tabSelected="1" zoomScaleNormal="100" workbookViewId="0">
      <pane xSplit="1" ySplit="2" topLeftCell="B43" activePane="bottomRight" state="frozen"/>
      <selection pane="topRight" activeCell="B1" sqref="B1"/>
      <selection pane="bottomLeft" activeCell="A2" sqref="A2"/>
      <selection pane="bottomRight" activeCell="D48" sqref="D48"/>
    </sheetView>
  </sheetViews>
  <sheetFormatPr defaultColWidth="0" defaultRowHeight="18.75" customHeight="1" zeroHeight="1" x14ac:dyDescent="0.25"/>
  <cols>
    <col min="1" max="1" width="4.08984375" style="180" customWidth="1"/>
    <col min="2" max="2" width="2.453125" style="63" customWidth="1"/>
    <col min="3" max="3" width="28.08984375" style="63" customWidth="1"/>
    <col min="4" max="4" width="9.453125" style="63" customWidth="1"/>
    <col min="5" max="5" width="11" style="63" customWidth="1"/>
    <col min="6" max="6" width="9.453125" style="63" customWidth="1"/>
    <col min="7" max="10" width="9.54296875" style="63" customWidth="1"/>
    <col min="11" max="11" width="12.54296875" style="63" customWidth="1"/>
    <col min="12" max="12" width="9.54296875" style="63" customWidth="1"/>
    <col min="13" max="14" width="7.453125" style="63" customWidth="1"/>
    <col min="15" max="15" width="6.453125" style="63" customWidth="1"/>
    <col min="16" max="16" width="4.90625" style="42" customWidth="1"/>
    <col min="17" max="17" width="22.453125" style="57" hidden="1" customWidth="1"/>
    <col min="18" max="23" width="9.08984375" style="57" hidden="1" customWidth="1"/>
    <col min="24" max="24" width="10.453125" style="57" hidden="1" customWidth="1"/>
    <col min="25" max="26" width="9.08984375" style="57" hidden="1" customWidth="1"/>
    <col min="27" max="27" width="11.54296875" style="57" hidden="1" customWidth="1"/>
    <col min="28" max="31" width="9.08984375" style="59" hidden="1" customWidth="1"/>
    <col min="32" max="42" width="9.08984375" style="68" hidden="1" customWidth="1"/>
    <col min="43" max="16384" width="9.08984375" style="42" hidden="1"/>
  </cols>
  <sheetData>
    <row r="1" spans="2:31" s="180" customFormat="1" ht="36" customHeight="1" thickBot="1" x14ac:dyDescent="0.3"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4"/>
      <c r="AC1" s="184"/>
      <c r="AD1" s="184"/>
      <c r="AE1" s="184"/>
    </row>
    <row r="2" spans="2:31" ht="58.75" customHeight="1" thickBot="1" x14ac:dyDescent="0.3">
      <c r="B2" s="185" t="s">
        <v>252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7"/>
      <c r="AA2" s="43" t="s">
        <v>253</v>
      </c>
      <c r="AB2" s="44">
        <v>1</v>
      </c>
      <c r="AC2" s="44">
        <v>2</v>
      </c>
      <c r="AD2" s="188" t="s">
        <v>254</v>
      </c>
      <c r="AE2" s="189"/>
    </row>
    <row r="3" spans="2:31" ht="18.75" customHeight="1" x14ac:dyDescent="0.25">
      <c r="B3" s="107" t="s">
        <v>257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  <c r="R3" s="45" t="s">
        <v>248</v>
      </c>
      <c r="S3" s="46">
        <v>1</v>
      </c>
      <c r="T3" s="47" t="s">
        <v>249</v>
      </c>
      <c r="W3" s="48" t="str">
        <f>IF(units_pref, "Unit Preferences - English", "Unit Preferences - Metric")</f>
        <v>Unit Preferences - English</v>
      </c>
      <c r="X3" s="49"/>
      <c r="Y3" s="49"/>
      <c r="AA3" s="50">
        <v>2</v>
      </c>
      <c r="AB3" s="51" t="s">
        <v>255</v>
      </c>
      <c r="AC3" s="51" t="s">
        <v>256</v>
      </c>
      <c r="AD3" s="51" t="s">
        <v>255</v>
      </c>
      <c r="AE3" s="51" t="s">
        <v>256</v>
      </c>
    </row>
    <row r="4" spans="2:31" ht="8.25" customHeight="1" x14ac:dyDescent="0.25">
      <c r="B4" s="110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1"/>
      <c r="O4" s="113"/>
      <c r="AB4" s="50"/>
      <c r="AC4" s="50"/>
      <c r="AD4" s="50"/>
      <c r="AE4" s="50"/>
    </row>
    <row r="5" spans="2:31" ht="18.75" customHeight="1" x14ac:dyDescent="0.25">
      <c r="B5" s="110"/>
      <c r="C5" s="111"/>
      <c r="D5" s="111"/>
      <c r="E5" s="111"/>
      <c r="F5" s="111"/>
      <c r="G5" s="114" t="s">
        <v>265</v>
      </c>
      <c r="H5" s="114"/>
      <c r="I5" s="114"/>
      <c r="J5" s="115" t="s">
        <v>266</v>
      </c>
      <c r="K5" s="111"/>
      <c r="L5" s="111"/>
      <c r="M5" s="111"/>
      <c r="N5" s="111"/>
      <c r="O5" s="113"/>
      <c r="R5" s="58" t="s">
        <v>268</v>
      </c>
      <c r="S5" s="57">
        <f>14.69594878</f>
        <v>14.69594878</v>
      </c>
      <c r="T5" s="57" t="s">
        <v>267</v>
      </c>
      <c r="W5" s="49" t="s">
        <v>250</v>
      </c>
      <c r="X5" s="52">
        <f>IF(Y5="lb",1,0.45359237)</f>
        <v>1</v>
      </c>
      <c r="Y5" s="49" t="str">
        <f>IF(units_pref=1,"lb","kg")</f>
        <v>lb</v>
      </c>
    </row>
    <row r="6" spans="2:31" ht="18.75" customHeight="1" x14ac:dyDescent="0.25">
      <c r="B6" s="110"/>
      <c r="C6" s="112" t="s">
        <v>270</v>
      </c>
      <c r="D6" s="171">
        <v>180</v>
      </c>
      <c r="E6" s="116" t="str">
        <f>IF(units_pref=1," psig"," barg")</f>
        <v xml:space="preserve"> psig</v>
      </c>
      <c r="F6" s="111"/>
      <c r="G6" s="117">
        <f>hL_p(S6)*unit_preference_energy/unit_preference_mass</f>
        <v>353.12958513771417</v>
      </c>
      <c r="H6" s="116" t="str">
        <f>IF(units_pref=1,"btu/lb","kJ/kg")</f>
        <v>btu/lb</v>
      </c>
      <c r="I6" s="116"/>
      <c r="J6" s="117">
        <f>(hV_p(S6)-hL_p(S6))*unit_preference_energy/unit_preference_mass</f>
        <v>845.3000475999163</v>
      </c>
      <c r="K6" s="116" t="str">
        <f>IF(units_pref=1,"btu/lb","kJ/kg")</f>
        <v>btu/lb</v>
      </c>
      <c r="L6" s="111"/>
      <c r="M6" s="111"/>
      <c r="N6" s="111"/>
      <c r="O6" s="118" t="str">
        <f>IF(ISBLANK(D6),"¬","")</f>
        <v/>
      </c>
      <c r="R6" s="58" t="s">
        <v>8</v>
      </c>
      <c r="S6" s="57">
        <f>IF(units_pref=1,D6,D6/unit_preference_pres_SI)+$S$5</f>
        <v>194.69594878000001</v>
      </c>
      <c r="T6" s="57" t="s">
        <v>267</v>
      </c>
      <c r="W6" s="49" t="s">
        <v>251</v>
      </c>
      <c r="X6" s="52">
        <f>IF(Y6="ft",1,0.3048)</f>
        <v>1</v>
      </c>
      <c r="Y6" s="49" t="str">
        <f>IF(units_pref=1,"ft","m")</f>
        <v>ft</v>
      </c>
      <c r="AB6" s="53">
        <f>IF(units_pref=$AB$2,$D6,$D6/unit_preference_pres_SI)</f>
        <v>180</v>
      </c>
      <c r="AC6" s="53">
        <f>IF(units_pref=$AB$2,$D6*unit_preference_pres_SI,$D6)</f>
        <v>12.410563127400001</v>
      </c>
      <c r="AD6" s="50">
        <v>180</v>
      </c>
      <c r="AE6" s="50">
        <v>12.410563127400001</v>
      </c>
    </row>
    <row r="7" spans="2:31" ht="18.75" customHeight="1" x14ac:dyDescent="0.25">
      <c r="B7" s="110"/>
      <c r="C7" s="112" t="s">
        <v>271</v>
      </c>
      <c r="D7" s="171">
        <v>30</v>
      </c>
      <c r="E7" s="116" t="str">
        <f>IF(units_pref=1," psig"," barg")</f>
        <v xml:space="preserve"> psig</v>
      </c>
      <c r="F7" s="111"/>
      <c r="G7" s="117">
        <f>hL_p(S7)*unit_preference_energy/unit_preference_mass</f>
        <v>243.07190352760634</v>
      </c>
      <c r="H7" s="116" t="str">
        <f>IF(units_pref=1,"btu/lb","kJ/kg")</f>
        <v>btu/lb</v>
      </c>
      <c r="I7" s="116"/>
      <c r="J7" s="117">
        <f>(hV_p(S7)-hL_p(S7))*unit_preference_energy/unit_preference_mass</f>
        <v>928.95150036656855</v>
      </c>
      <c r="K7" s="116" t="str">
        <f>IF(units_pref=1,"btu/lb","kJ/kg")</f>
        <v>btu/lb</v>
      </c>
      <c r="L7" s="111"/>
      <c r="M7" s="111"/>
      <c r="N7" s="111"/>
      <c r="O7" s="118" t="str">
        <f>IF(ISBLANK(D7),"¬","")</f>
        <v/>
      </c>
      <c r="R7" s="58" t="s">
        <v>8</v>
      </c>
      <c r="S7" s="57">
        <f>IF(units_pref=1,D7,D7/unit_preference_pres_SI)+$S$5</f>
        <v>44.695948780000002</v>
      </c>
      <c r="T7" s="57" t="s">
        <v>267</v>
      </c>
      <c r="W7" s="49" t="s">
        <v>8</v>
      </c>
      <c r="X7" s="52">
        <f>IF(Y7="psia",1,0.06894757293)</f>
        <v>1</v>
      </c>
      <c r="Y7" s="49" t="str">
        <f>IF(units_pref=1,"psia","bara")</f>
        <v>psia</v>
      </c>
      <c r="AB7" s="53">
        <f>IF(units_pref=$AB$2,$D7,$D7/unit_preference_pres_SI)</f>
        <v>30</v>
      </c>
      <c r="AC7" s="53">
        <f>IF(units_pref=$AB$2,$D7*unit_preference_pres_SI,$D7)</f>
        <v>2.0684271879000002</v>
      </c>
      <c r="AD7" s="49">
        <v>30</v>
      </c>
      <c r="AE7" s="49">
        <v>2.0684271879000002</v>
      </c>
    </row>
    <row r="8" spans="2:31" ht="18.75" customHeight="1" x14ac:dyDescent="0.25">
      <c r="B8" s="110"/>
      <c r="C8" s="112" t="s">
        <v>272</v>
      </c>
      <c r="D8" s="119">
        <f>(G6-G7)/J7*100</f>
        <v>11.847516427572222</v>
      </c>
      <c r="E8" s="116" t="s">
        <v>269</v>
      </c>
      <c r="F8" s="111"/>
      <c r="G8" s="111"/>
      <c r="H8" s="111"/>
      <c r="I8" s="111"/>
      <c r="J8" s="111"/>
      <c r="K8" s="111"/>
      <c r="L8" s="111"/>
      <c r="M8" s="111"/>
      <c r="N8" s="111"/>
      <c r="O8" s="113"/>
      <c r="W8" s="50" t="s">
        <v>258</v>
      </c>
      <c r="X8" s="53">
        <f>IF(Y8="Btu",1,1.055055853)</f>
        <v>1</v>
      </c>
      <c r="Y8" s="50" t="str">
        <f>IF(units_pref=1,"Btu","kJ")</f>
        <v>Btu</v>
      </c>
      <c r="AD8" s="49"/>
      <c r="AE8" s="49"/>
    </row>
    <row r="9" spans="2:31" ht="18.75" customHeight="1" x14ac:dyDescent="0.25">
      <c r="B9" s="110"/>
      <c r="C9" s="111"/>
      <c r="D9" s="111"/>
      <c r="E9" s="111"/>
      <c r="F9" s="120"/>
      <c r="G9" s="111"/>
      <c r="H9" s="111"/>
      <c r="I9" s="111"/>
      <c r="J9" s="111"/>
      <c r="K9" s="111"/>
      <c r="L9" s="111"/>
      <c r="M9" s="111"/>
      <c r="N9" s="111"/>
      <c r="O9" s="113"/>
      <c r="W9" s="50" t="s">
        <v>259</v>
      </c>
      <c r="X9" s="53">
        <f>IF(Y9="ft/s",1,0.3048)</f>
        <v>1</v>
      </c>
      <c r="Y9" s="50" t="str">
        <f>IF(units_pref=1,"ft/s","m/s")</f>
        <v>ft/s</v>
      </c>
      <c r="AD9" s="49"/>
      <c r="AE9" s="49"/>
    </row>
    <row r="10" spans="2:31" ht="18.75" customHeight="1" x14ac:dyDescent="0.25">
      <c r="B10" s="110"/>
      <c r="C10" s="112" t="s">
        <v>273</v>
      </c>
      <c r="D10" s="172">
        <v>56819</v>
      </c>
      <c r="E10" s="116" t="str">
        <f>IF(units_pref=1," lb/h"," kg/h")</f>
        <v xml:space="preserve"> lb/h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8" t="str">
        <f>IF(ISBLANK(D10),"¬","")</f>
        <v/>
      </c>
      <c r="W10" s="49" t="s">
        <v>280</v>
      </c>
      <c r="X10" s="52">
        <f>IF(units_pref=1,12,39.37007874)</f>
        <v>12</v>
      </c>
      <c r="Y10" s="49" t="s">
        <v>281</v>
      </c>
      <c r="AB10" s="53">
        <f>IF(units_pref=$AB$2,$D10,$D10/unit_preference_mass_SI)</f>
        <v>56819</v>
      </c>
      <c r="AC10" s="53">
        <f>IF(units_pref=$AB$2,$D10*unit_preference_mass_SI,$D10)</f>
        <v>25772.66487103</v>
      </c>
      <c r="AD10" s="49">
        <v>56819</v>
      </c>
      <c r="AE10" s="49">
        <v>25772.66487103</v>
      </c>
    </row>
    <row r="11" spans="2:31" ht="18.75" customHeight="1" x14ac:dyDescent="0.25">
      <c r="B11" s="110"/>
      <c r="C11" s="112"/>
      <c r="D11" s="116"/>
      <c r="E11" s="116"/>
      <c r="F11" s="111"/>
      <c r="G11" s="114" t="s">
        <v>3</v>
      </c>
      <c r="H11" s="114"/>
      <c r="I11" s="114"/>
      <c r="J11" s="114" t="s">
        <v>316</v>
      </c>
      <c r="K11" s="111"/>
      <c r="L11" s="111"/>
      <c r="M11" s="111"/>
      <c r="N11" s="111"/>
      <c r="O11" s="113"/>
      <c r="W11" s="49"/>
      <c r="X11" s="52"/>
      <c r="Y11" s="49"/>
      <c r="AB11" s="53"/>
      <c r="AC11" s="53"/>
      <c r="AD11" s="49"/>
      <c r="AE11" s="49"/>
    </row>
    <row r="12" spans="2:31" ht="18.75" customHeight="1" x14ac:dyDescent="0.25">
      <c r="B12" s="110"/>
      <c r="C12" s="112" t="s">
        <v>274</v>
      </c>
      <c r="D12" s="121">
        <f>D10*D8/100</f>
        <v>6731.6403589822612</v>
      </c>
      <c r="E12" s="116" t="str">
        <f>IF(units_pref=1," lb/h"," kg/h")</f>
        <v xml:space="preserve"> lb/h</v>
      </c>
      <c r="F12" s="111"/>
      <c r="G12" s="122">
        <f xml:space="preserve"> rhoV_p(S7)*unit_preference_mass/unit_preference_length^3</f>
        <v>0.105682504088031</v>
      </c>
      <c r="H12" s="116" t="str">
        <f>IF(units_pref=1," lb/ft³"," kg/m³")</f>
        <v xml:space="preserve"> lb/ft³</v>
      </c>
      <c r="I12" s="116"/>
      <c r="J12" s="123">
        <f>1/G12</f>
        <v>9.4623041782490684</v>
      </c>
      <c r="K12" s="116" t="str">
        <f>IF(units_pref=1," ft³/lb"," m³/kg")</f>
        <v xml:space="preserve"> ft³/lb</v>
      </c>
      <c r="L12" s="111"/>
      <c r="M12" s="111"/>
      <c r="N12" s="111"/>
      <c r="O12" s="113"/>
      <c r="W12" s="54" t="s">
        <v>260</v>
      </c>
      <c r="X12" s="55"/>
      <c r="Y12" s="49"/>
      <c r="AD12" s="49"/>
      <c r="AE12" s="49"/>
    </row>
    <row r="13" spans="2:31" ht="18.75" customHeight="1" x14ac:dyDescent="0.25">
      <c r="B13" s="110"/>
      <c r="C13" s="124" t="str">
        <f xml:space="preserve"> "at " &amp; ROUND($D$7,1)  &amp; $E$7</f>
        <v>at 30 psig</v>
      </c>
      <c r="D13" s="125">
        <f>J12*D12/3600</f>
        <v>17.693563526463308</v>
      </c>
      <c r="E13" s="116" t="str">
        <f>IF(units_pref=1," ft³/s"," m³/s")</f>
        <v xml:space="preserve"> ft³/s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3"/>
      <c r="W13" s="56">
        <v>0.45359237000000002</v>
      </c>
      <c r="X13" s="55" t="s">
        <v>261</v>
      </c>
      <c r="Y13" s="49"/>
      <c r="AD13" s="49"/>
      <c r="AE13" s="49"/>
    </row>
    <row r="14" spans="2:31" ht="8.25" customHeight="1" x14ac:dyDescent="0.25">
      <c r="B14" s="110"/>
      <c r="C14" s="111"/>
      <c r="D14" s="123"/>
      <c r="E14" s="116"/>
      <c r="F14" s="111"/>
      <c r="G14" s="111"/>
      <c r="H14" s="111"/>
      <c r="I14" s="111"/>
      <c r="J14" s="111"/>
      <c r="K14" s="111"/>
      <c r="L14" s="111"/>
      <c r="M14" s="111"/>
      <c r="N14" s="111"/>
      <c r="O14" s="113"/>
      <c r="W14" s="56">
        <v>0.30480000000000002</v>
      </c>
      <c r="X14" s="55" t="s">
        <v>262</v>
      </c>
      <c r="Y14" s="49"/>
      <c r="AD14" s="49"/>
      <c r="AE14" s="49"/>
    </row>
    <row r="15" spans="2:31" ht="18.75" customHeight="1" x14ac:dyDescent="0.25">
      <c r="B15" s="110"/>
      <c r="C15" s="112" t="s">
        <v>275</v>
      </c>
      <c r="D15" s="121">
        <f>D10-D12</f>
        <v>50087.359641017742</v>
      </c>
      <c r="E15" s="116" t="str">
        <f>IF(units_pref=1," lb/h"," kg/h")</f>
        <v xml:space="preserve"> lb/h</v>
      </c>
      <c r="F15" s="111"/>
      <c r="G15" s="123">
        <f xml:space="preserve"> rhoL_P(S7)*unit_preference_mass/unit_preference_length^3</f>
        <v>58.121566968005844</v>
      </c>
      <c r="H15" s="116" t="str">
        <f>IF(units_pref=1," lb/ft³"," kg/m³")</f>
        <v xml:space="preserve"> lb/ft³</v>
      </c>
      <c r="I15" s="116"/>
      <c r="J15" s="122">
        <f>1/G15</f>
        <v>1.7205317271478067E-2</v>
      </c>
      <c r="K15" s="116" t="str">
        <f>IF(units_pref=1," ft³/lb"," m³/kg")</f>
        <v xml:space="preserve"> ft³/lb</v>
      </c>
      <c r="L15" s="111"/>
      <c r="M15" s="111"/>
      <c r="N15" s="111"/>
      <c r="O15" s="113"/>
      <c r="W15" s="56">
        <v>6.8947572930000006E-2</v>
      </c>
      <c r="X15" s="55" t="s">
        <v>263</v>
      </c>
      <c r="Y15" s="49"/>
      <c r="AD15" s="49"/>
      <c r="AE15" s="49"/>
    </row>
    <row r="16" spans="2:31" ht="18.75" customHeight="1" x14ac:dyDescent="0.25">
      <c r="B16" s="110"/>
      <c r="C16" s="124" t="str">
        <f xml:space="preserve"> "at " &amp; ROUND($D$7,1)  &amp; $E$7</f>
        <v>at 30 psig</v>
      </c>
      <c r="D16" s="126">
        <f>J15*D15/3600</f>
        <v>0.23938025386509335</v>
      </c>
      <c r="E16" s="116" t="str">
        <f>IF(units_pref=1," ft³/s"," m³/s")</f>
        <v xml:space="preserve"> ft³/s</v>
      </c>
      <c r="F16" s="123"/>
      <c r="G16" s="116"/>
      <c r="H16" s="116"/>
      <c r="I16" s="116"/>
      <c r="J16" s="116"/>
      <c r="K16" s="116"/>
      <c r="L16" s="111"/>
      <c r="M16" s="111"/>
      <c r="N16" s="111"/>
      <c r="O16" s="113"/>
      <c r="W16" s="56"/>
      <c r="X16" s="55"/>
      <c r="Y16" s="49"/>
      <c r="AD16" s="49"/>
      <c r="AE16" s="49"/>
    </row>
    <row r="17" spans="2:31" ht="18.75" customHeight="1" x14ac:dyDescent="0.25"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3"/>
      <c r="W17" s="56">
        <v>1.055055853</v>
      </c>
      <c r="X17" s="55" t="s">
        <v>264</v>
      </c>
      <c r="Y17" s="49"/>
      <c r="AD17" s="49"/>
      <c r="AE17" s="49"/>
    </row>
    <row r="18" spans="2:31" ht="18.75" customHeight="1" x14ac:dyDescent="0.25">
      <c r="B18" s="110"/>
      <c r="C18" s="112" t="s">
        <v>276</v>
      </c>
      <c r="D18" s="127" t="s">
        <v>317</v>
      </c>
      <c r="E18" s="111"/>
      <c r="F18" s="111"/>
      <c r="G18" s="128"/>
      <c r="H18" s="128"/>
      <c r="I18" s="128"/>
      <c r="J18" s="128"/>
      <c r="K18" s="111"/>
      <c r="L18" s="111"/>
      <c r="M18" s="111"/>
      <c r="N18" s="111"/>
      <c r="O18" s="113"/>
      <c r="R18" s="58"/>
      <c r="S18" s="61"/>
      <c r="T18" s="60"/>
      <c r="Y18" s="49"/>
      <c r="AD18" s="49"/>
      <c r="AE18" s="49"/>
    </row>
    <row r="19" spans="2:31" ht="18.75" customHeight="1" x14ac:dyDescent="0.25">
      <c r="B19" s="110"/>
      <c r="C19" s="129"/>
      <c r="D19" s="130"/>
      <c r="E19" s="131"/>
      <c r="F19" s="111"/>
      <c r="G19" s="111"/>
      <c r="H19" s="111"/>
      <c r="I19" s="111"/>
      <c r="J19" s="111"/>
      <c r="K19" s="111"/>
      <c r="L19" s="111"/>
      <c r="M19" s="111"/>
      <c r="N19" s="111"/>
      <c r="O19" s="113"/>
      <c r="W19" s="56"/>
      <c r="X19" s="55"/>
      <c r="Y19" s="49"/>
      <c r="AD19" s="49"/>
      <c r="AE19" s="49"/>
    </row>
    <row r="20" spans="2:31" ht="18.75" customHeight="1" x14ac:dyDescent="0.2">
      <c r="B20" s="110"/>
      <c r="C20" s="112" t="s">
        <v>279</v>
      </c>
      <c r="D20" s="173">
        <v>5</v>
      </c>
      <c r="E20" s="116" t="s">
        <v>277</v>
      </c>
      <c r="F20" s="111"/>
      <c r="G20" s="111"/>
      <c r="H20" s="111"/>
      <c r="I20" s="111"/>
      <c r="J20" s="132">
        <f>D12</f>
        <v>6731.6403589822612</v>
      </c>
      <c r="K20" s="111"/>
      <c r="L20" s="111"/>
      <c r="M20" s="111"/>
      <c r="N20" s="111"/>
      <c r="O20" s="118" t="str">
        <f>IF(ISBLANK(D20),"¬","")</f>
        <v/>
      </c>
      <c r="W20" s="56"/>
      <c r="X20" s="55"/>
      <c r="Y20" s="49"/>
      <c r="AD20" s="49"/>
      <c r="AE20" s="49"/>
    </row>
    <row r="21" spans="2:31" ht="16.5" customHeight="1" x14ac:dyDescent="0.25">
      <c r="B21" s="110"/>
      <c r="C21" s="133" t="s">
        <v>313</v>
      </c>
      <c r="D21" s="111"/>
      <c r="E21" s="131"/>
      <c r="F21" s="111"/>
      <c r="G21" s="111"/>
      <c r="H21" s="111"/>
      <c r="I21" s="111"/>
      <c r="J21" s="134" t="str">
        <f>E12</f>
        <v xml:space="preserve"> lb/h</v>
      </c>
      <c r="K21" s="111"/>
      <c r="L21" s="111"/>
      <c r="M21" s="111"/>
      <c r="N21" s="111"/>
      <c r="O21" s="113"/>
      <c r="W21" s="56"/>
      <c r="X21" s="55"/>
      <c r="Y21" s="49"/>
      <c r="AD21" s="49"/>
      <c r="AE21" s="49"/>
    </row>
    <row r="22" spans="2:31" ht="16.5" customHeight="1" x14ac:dyDescent="0.25">
      <c r="B22" s="110"/>
      <c r="C22" s="133"/>
      <c r="D22" s="111"/>
      <c r="E22" s="131"/>
      <c r="F22" s="111"/>
      <c r="G22" s="111"/>
      <c r="H22" s="111"/>
      <c r="I22" s="111"/>
      <c r="J22" s="111"/>
      <c r="K22" s="111"/>
      <c r="L22" s="111"/>
      <c r="M22" s="111"/>
      <c r="N22" s="111"/>
      <c r="O22" s="113"/>
      <c r="W22" s="56"/>
      <c r="X22" s="55"/>
      <c r="Y22" s="49"/>
      <c r="AD22" s="49"/>
      <c r="AE22" s="49"/>
    </row>
    <row r="23" spans="2:31" ht="16.5" customHeight="1" x14ac:dyDescent="0.25">
      <c r="B23" s="110"/>
      <c r="C23" s="112" t="s">
        <v>314</v>
      </c>
      <c r="D23" s="171">
        <v>1.5</v>
      </c>
      <c r="E23" s="131"/>
      <c r="F23" s="111"/>
      <c r="G23" s="111"/>
      <c r="H23" s="111"/>
      <c r="I23" s="111"/>
      <c r="J23" s="111"/>
      <c r="K23" s="111"/>
      <c r="L23" s="111"/>
      <c r="M23" s="111"/>
      <c r="N23" s="111"/>
      <c r="O23" s="113"/>
      <c r="W23" s="56"/>
      <c r="X23" s="55"/>
      <c r="Y23" s="49"/>
      <c r="AD23" s="49"/>
      <c r="AE23" s="49"/>
    </row>
    <row r="24" spans="2:31" ht="18.75" customHeight="1" x14ac:dyDescent="0.25">
      <c r="B24" s="110"/>
      <c r="C24" s="135" t="s">
        <v>315</v>
      </c>
      <c r="D24" s="130"/>
      <c r="E24" s="131"/>
      <c r="F24" s="111"/>
      <c r="G24" s="111"/>
      <c r="H24" s="111"/>
      <c r="I24" s="111"/>
      <c r="J24" s="111"/>
      <c r="K24" s="111"/>
      <c r="L24" s="111"/>
      <c r="M24" s="111"/>
      <c r="N24" s="111"/>
      <c r="O24" s="113"/>
      <c r="AD24" s="49"/>
      <c r="AE24" s="49"/>
    </row>
    <row r="25" spans="2:31" ht="18.75" customHeight="1" x14ac:dyDescent="0.25">
      <c r="B25" s="110"/>
      <c r="C25" s="133"/>
      <c r="D25" s="130"/>
      <c r="E25" s="131"/>
      <c r="F25" s="111"/>
      <c r="G25" s="111"/>
      <c r="H25" s="136"/>
      <c r="I25" s="111"/>
      <c r="J25" s="137"/>
      <c r="K25" s="111"/>
      <c r="L25" s="111"/>
      <c r="M25" s="111"/>
      <c r="N25" s="111"/>
      <c r="O25" s="113"/>
      <c r="AD25" s="49"/>
      <c r="AE25" s="49"/>
    </row>
    <row r="26" spans="2:31" ht="18.75" customHeight="1" x14ac:dyDescent="0.2">
      <c r="B26" s="110"/>
      <c r="C26" s="138"/>
      <c r="D26" s="139" t="s">
        <v>278</v>
      </c>
      <c r="E26" s="138"/>
      <c r="F26" s="114"/>
      <c r="G26" s="132">
        <f>D10</f>
        <v>56819</v>
      </c>
      <c r="H26" s="111"/>
      <c r="I26" s="111"/>
      <c r="J26" s="111"/>
      <c r="K26" s="137">
        <f>D29</f>
        <v>2.1120135721103273</v>
      </c>
      <c r="L26" s="111"/>
      <c r="M26" s="111"/>
      <c r="N26" s="111"/>
      <c r="O26" s="113"/>
      <c r="S26" s="64"/>
      <c r="T26" s="64"/>
      <c r="AD26" s="49"/>
      <c r="AE26" s="49"/>
    </row>
    <row r="27" spans="2:31" ht="18.75" customHeight="1" x14ac:dyDescent="0.25">
      <c r="B27" s="110"/>
      <c r="C27" s="112" t="s">
        <v>318</v>
      </c>
      <c r="D27" s="172">
        <v>48</v>
      </c>
      <c r="E27" s="140" t="s">
        <v>296</v>
      </c>
      <c r="F27" s="111"/>
      <c r="G27" s="131" t="str">
        <f>E10</f>
        <v xml:space="preserve"> lb/h</v>
      </c>
      <c r="H27" s="111"/>
      <c r="I27" s="134"/>
      <c r="J27" s="111"/>
      <c r="K27" s="131" t="str">
        <f>E29</f>
        <v xml:space="preserve"> ft</v>
      </c>
      <c r="L27" s="111"/>
      <c r="M27" s="111"/>
      <c r="N27" s="111"/>
      <c r="O27" s="113"/>
      <c r="R27" s="58" t="s">
        <v>319</v>
      </c>
      <c r="S27" s="62">
        <f>PI()*(D27/2)^2/unit_preference_length_inch^2</f>
        <v>12.566370614359172</v>
      </c>
      <c r="T27" s="103" t="str">
        <f>IF(units_pref=1," ft²"," m²")</f>
        <v xml:space="preserve"> ft²</v>
      </c>
      <c r="AD27" s="49"/>
      <c r="AE27" s="49"/>
    </row>
    <row r="28" spans="2:31" ht="18.75" customHeight="1" x14ac:dyDescent="0.2">
      <c r="B28" s="110"/>
      <c r="C28" s="112"/>
      <c r="D28" s="141"/>
      <c r="E28" s="140"/>
      <c r="F28" s="123"/>
      <c r="G28" s="131"/>
      <c r="H28" s="131"/>
      <c r="I28" s="142">
        <f>D27/unit_preference_length_inch</f>
        <v>4</v>
      </c>
      <c r="J28" s="111"/>
      <c r="K28" s="111"/>
      <c r="L28" s="111"/>
      <c r="M28" s="111"/>
      <c r="N28" s="111"/>
      <c r="O28" s="113"/>
      <c r="R28" s="58"/>
      <c r="S28" s="59"/>
      <c r="T28" s="62"/>
      <c r="AD28" s="49"/>
      <c r="AE28" s="49"/>
    </row>
    <row r="29" spans="2:31" ht="18.75" customHeight="1" x14ac:dyDescent="0.25">
      <c r="B29" s="110"/>
      <c r="C29" s="112" t="s">
        <v>320</v>
      </c>
      <c r="D29" s="119">
        <f>D13*D23/S27</f>
        <v>2.1120135721103273</v>
      </c>
      <c r="E29" s="116" t="str">
        <f>IF(units_pref=1," ft"," m")</f>
        <v xml:space="preserve"> ft</v>
      </c>
      <c r="F29" s="123"/>
      <c r="G29" s="116"/>
      <c r="H29" s="116"/>
      <c r="I29" s="143" t="str">
        <f>E29</f>
        <v xml:space="preserve"> ft</v>
      </c>
      <c r="J29" s="111"/>
      <c r="K29" s="111"/>
      <c r="L29" s="111"/>
      <c r="M29" s="111"/>
      <c r="N29" s="111"/>
      <c r="O29" s="113"/>
      <c r="R29" s="58"/>
      <c r="S29" s="59"/>
      <c r="T29" s="62"/>
      <c r="V29" s="190"/>
      <c r="W29" s="190"/>
      <c r="AD29" s="49"/>
      <c r="AE29" s="49"/>
    </row>
    <row r="30" spans="2:31" ht="18.75" customHeight="1" x14ac:dyDescent="0.2">
      <c r="B30" s="110"/>
      <c r="C30" s="112" t="s">
        <v>321</v>
      </c>
      <c r="D30" s="119">
        <f>D16*60*D20/S27</f>
        <v>5.7147826021833588</v>
      </c>
      <c r="E30" s="116" t="str">
        <f>IF(units_pref=1," ft"," m")</f>
        <v xml:space="preserve"> ft</v>
      </c>
      <c r="F30" s="123"/>
      <c r="G30" s="116"/>
      <c r="H30" s="116"/>
      <c r="I30" s="116"/>
      <c r="J30" s="111"/>
      <c r="K30" s="137">
        <f>D30</f>
        <v>5.7147826021833588</v>
      </c>
      <c r="L30" s="144"/>
      <c r="M30" s="111"/>
      <c r="N30" s="111"/>
      <c r="O30" s="113"/>
      <c r="T30" s="65"/>
      <c r="V30" s="58"/>
      <c r="W30" s="67"/>
      <c r="AB30" s="53"/>
      <c r="AC30" s="53"/>
      <c r="AD30" s="49"/>
      <c r="AE30" s="49"/>
    </row>
    <row r="31" spans="2:31" ht="18.75" customHeight="1" x14ac:dyDescent="0.25">
      <c r="B31" s="110"/>
      <c r="C31" s="111"/>
      <c r="D31" s="111"/>
      <c r="E31" s="111"/>
      <c r="F31" s="111"/>
      <c r="G31" s="111"/>
      <c r="H31" s="111"/>
      <c r="I31" s="111"/>
      <c r="J31" s="111"/>
      <c r="K31" s="134" t="str">
        <f>E30</f>
        <v xml:space="preserve"> ft</v>
      </c>
      <c r="L31" s="145"/>
      <c r="M31" s="131"/>
      <c r="N31" s="111"/>
      <c r="O31" s="113"/>
      <c r="R31" s="58"/>
      <c r="S31" s="59"/>
      <c r="T31" s="66"/>
      <c r="V31" s="66"/>
      <c r="AB31" s="53"/>
      <c r="AC31" s="53"/>
      <c r="AD31" s="49"/>
      <c r="AE31" s="49"/>
    </row>
    <row r="32" spans="2:31" ht="18.75" customHeight="1" x14ac:dyDescent="0.25">
      <c r="B32" s="110"/>
      <c r="C32" s="112" t="s">
        <v>322</v>
      </c>
      <c r="D32" s="119">
        <f>D29+D30</f>
        <v>7.826796174293686</v>
      </c>
      <c r="E32" s="116" t="str">
        <f>IF(units_pref=1," ft"," m")</f>
        <v xml:space="preserve"> ft</v>
      </c>
      <c r="F32" s="123"/>
      <c r="G32" s="140"/>
      <c r="H32" s="140"/>
      <c r="I32" s="132">
        <f>D10</f>
        <v>56819</v>
      </c>
      <c r="J32" s="111"/>
      <c r="K32" s="111"/>
      <c r="L32" s="144"/>
      <c r="M32" s="146"/>
      <c r="N32" s="111"/>
      <c r="O32" s="113"/>
      <c r="S32" s="59"/>
      <c r="T32" s="62"/>
      <c r="AD32" s="49"/>
      <c r="AE32" s="49"/>
    </row>
    <row r="33" spans="1:42" ht="18.75" customHeight="1" x14ac:dyDescent="0.25">
      <c r="B33" s="110"/>
      <c r="C33" s="112"/>
      <c r="D33" s="119"/>
      <c r="E33" s="116"/>
      <c r="F33" s="119"/>
      <c r="G33" s="140"/>
      <c r="H33" s="140"/>
      <c r="I33" s="134" t="str">
        <f>E10</f>
        <v xml:space="preserve"> lb/h</v>
      </c>
      <c r="J33" s="111"/>
      <c r="K33" s="116"/>
      <c r="L33" s="145"/>
      <c r="M33" s="131"/>
      <c r="N33" s="111"/>
      <c r="O33" s="113"/>
      <c r="R33" s="58"/>
      <c r="S33" s="59"/>
      <c r="T33" s="62"/>
      <c r="V33" s="66"/>
      <c r="AB33" s="53"/>
      <c r="AC33" s="53"/>
      <c r="AD33" s="49"/>
      <c r="AE33" s="49"/>
    </row>
    <row r="34" spans="1:42" ht="18.75" customHeight="1" x14ac:dyDescent="0.2">
      <c r="B34" s="110"/>
      <c r="C34" s="112" t="s">
        <v>323</v>
      </c>
      <c r="D34" s="119">
        <f>D32*S27</f>
        <v>98.354421449222968</v>
      </c>
      <c r="E34" s="116" t="str">
        <f>IF(units_pref=1," ft³"," m³")</f>
        <v xml:space="preserve"> ft³</v>
      </c>
      <c r="F34" s="111"/>
      <c r="G34" s="111"/>
      <c r="H34" s="111"/>
      <c r="I34" s="147"/>
      <c r="J34" s="111"/>
      <c r="K34" s="111"/>
      <c r="L34" s="111"/>
      <c r="M34" s="131"/>
      <c r="N34" s="111"/>
      <c r="O34" s="113"/>
      <c r="S34" s="59"/>
      <c r="T34" s="62"/>
      <c r="AD34" s="49"/>
      <c r="AE34" s="49"/>
    </row>
    <row r="35" spans="1:42" ht="18.75" customHeight="1" x14ac:dyDescent="0.2">
      <c r="B35" s="110"/>
      <c r="C35" s="148" t="s">
        <v>282</v>
      </c>
      <c r="D35" s="119"/>
      <c r="E35" s="111"/>
      <c r="F35" s="119"/>
      <c r="G35" s="111"/>
      <c r="H35" s="111"/>
      <c r="I35" s="111"/>
      <c r="J35" s="149">
        <f>D15</f>
        <v>50087.359641017742</v>
      </c>
      <c r="K35" s="150"/>
      <c r="L35" s="144"/>
      <c r="M35" s="111"/>
      <c r="N35" s="111"/>
      <c r="O35" s="113"/>
      <c r="S35" s="59"/>
      <c r="T35" s="62"/>
      <c r="AD35" s="49"/>
      <c r="AE35" s="49"/>
    </row>
    <row r="36" spans="1:42" ht="18.75" customHeight="1" x14ac:dyDescent="0.25">
      <c r="B36" s="110"/>
      <c r="C36" s="148"/>
      <c r="D36" s="151"/>
      <c r="E36" s="111"/>
      <c r="F36" s="151"/>
      <c r="G36" s="111"/>
      <c r="H36" s="111"/>
      <c r="I36" s="152"/>
      <c r="J36" s="153" t="str">
        <f>E15</f>
        <v xml:space="preserve"> lb/h</v>
      </c>
      <c r="K36" s="134"/>
      <c r="L36" s="145"/>
      <c r="M36" s="131"/>
      <c r="N36" s="111"/>
      <c r="O36" s="113"/>
      <c r="R36" s="58"/>
      <c r="S36" s="59"/>
      <c r="T36" s="62"/>
      <c r="V36" s="66"/>
      <c r="AB36" s="53"/>
      <c r="AC36" s="53"/>
      <c r="AD36" s="49"/>
      <c r="AE36" s="49"/>
    </row>
    <row r="37" spans="1:42" ht="18.75" customHeight="1" x14ac:dyDescent="0.2">
      <c r="B37" s="110"/>
      <c r="C37" s="111"/>
      <c r="D37" s="111"/>
      <c r="E37" s="111"/>
      <c r="F37" s="111"/>
      <c r="G37" s="111"/>
      <c r="H37" s="111"/>
      <c r="I37" s="111"/>
      <c r="J37" s="111"/>
      <c r="K37" s="154"/>
      <c r="L37" s="111"/>
      <c r="M37" s="134"/>
      <c r="N37" s="111"/>
      <c r="O37" s="113"/>
      <c r="AD37" s="49"/>
      <c r="AE37" s="49"/>
    </row>
    <row r="38" spans="1:42" ht="18.75" customHeight="1" x14ac:dyDescent="0.25">
      <c r="B38" s="110"/>
      <c r="C38" s="155" t="s">
        <v>294</v>
      </c>
      <c r="D38" s="111"/>
      <c r="E38" s="111"/>
      <c r="F38" s="111"/>
      <c r="G38" s="111"/>
      <c r="H38" s="111"/>
      <c r="I38" s="111"/>
      <c r="J38" s="111"/>
      <c r="K38" s="156"/>
      <c r="L38" s="111"/>
      <c r="M38" s="111"/>
      <c r="N38" s="111"/>
      <c r="O38" s="113"/>
      <c r="AD38" s="49"/>
      <c r="AE38" s="49"/>
    </row>
    <row r="39" spans="1:42" ht="9" customHeight="1" x14ac:dyDescent="0.25">
      <c r="B39" s="110"/>
      <c r="C39" s="157"/>
      <c r="D39" s="111"/>
      <c r="E39" s="111"/>
      <c r="F39" s="111"/>
      <c r="G39" s="111"/>
      <c r="H39" s="111"/>
      <c r="I39" s="111"/>
      <c r="J39" s="111"/>
      <c r="K39" s="111"/>
      <c r="L39" s="111"/>
      <c r="M39" s="134"/>
      <c r="N39" s="111"/>
      <c r="O39" s="113"/>
      <c r="AD39" s="49"/>
      <c r="AE39" s="49"/>
    </row>
    <row r="40" spans="1:42" s="95" customFormat="1" ht="15.75" customHeight="1" x14ac:dyDescent="0.25">
      <c r="A40" s="181"/>
      <c r="B40" s="158"/>
      <c r="C40" s="159" t="str">
        <f>"The velocity of the flash steam at the outlet should not exceed " &amp; ROUND(3000*unit_preference_length,0) &amp; IF(units_pref=1," feet per minute.", " meter per minute.")</f>
        <v>The velocity of the flash steam at the outlet should not exceed 3000 feet per minute.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1"/>
      <c r="Q40" s="96"/>
      <c r="R40" s="96"/>
      <c r="S40" s="97"/>
      <c r="T40" s="97"/>
      <c r="U40" s="96"/>
      <c r="V40" s="96"/>
      <c r="W40" s="96"/>
      <c r="X40" s="96"/>
      <c r="Y40" s="96"/>
      <c r="Z40" s="96"/>
      <c r="AA40" s="96"/>
      <c r="AB40" s="97"/>
      <c r="AC40" s="97"/>
      <c r="AD40" s="174"/>
      <c r="AE40" s="174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</row>
    <row r="41" spans="1:42" ht="18.75" customHeight="1" x14ac:dyDescent="0.25">
      <c r="B41" s="110"/>
      <c r="C41" s="112" t="s">
        <v>301</v>
      </c>
      <c r="D41" s="111"/>
      <c r="E41" s="116" t="s">
        <v>296</v>
      </c>
      <c r="F41" s="162"/>
      <c r="G41" s="111"/>
      <c r="H41" s="111"/>
      <c r="I41" s="111"/>
      <c r="J41" s="111"/>
      <c r="K41" s="111"/>
      <c r="L41" s="111"/>
      <c r="M41" s="111"/>
      <c r="N41" s="111"/>
      <c r="O41" s="113"/>
      <c r="R41" s="58" t="s">
        <v>295</v>
      </c>
      <c r="S41" s="46">
        <v>17</v>
      </c>
      <c r="T41" s="89">
        <f>INDEX(Pipe_Size,S41,1)</f>
        <v>10</v>
      </c>
      <c r="U41" s="57" t="s">
        <v>303</v>
      </c>
      <c r="AD41" s="49"/>
      <c r="AE41" s="49"/>
    </row>
    <row r="42" spans="1:42" ht="18.75" customHeight="1" x14ac:dyDescent="0.25">
      <c r="B42" s="110"/>
      <c r="C42" s="112" t="s">
        <v>302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3"/>
      <c r="R42" s="58" t="s">
        <v>297</v>
      </c>
      <c r="S42" s="46">
        <v>12</v>
      </c>
      <c r="T42" s="102">
        <f>MATCH(INDEX('Pipe Chart'!AX4:AX20,Main!S42,1),'Pipe Chart'!AV4:AV20,0)</f>
        <v>12</v>
      </c>
      <c r="U42" s="57" t="s">
        <v>304</v>
      </c>
      <c r="AD42" s="49"/>
      <c r="AE42" s="49"/>
    </row>
    <row r="43" spans="1:42" ht="18.75" customHeight="1" x14ac:dyDescent="0.25">
      <c r="B43" s="110"/>
      <c r="C43" s="112" t="s">
        <v>309</v>
      </c>
      <c r="D43" s="163">
        <f>VLOOKUP($T$41,Pipe_Chart,2,FALSE)</f>
        <v>10.75</v>
      </c>
      <c r="E43" s="116" t="s">
        <v>296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3"/>
      <c r="AD43" s="49"/>
      <c r="AE43" s="49"/>
    </row>
    <row r="44" spans="1:42" ht="18.75" customHeight="1" x14ac:dyDescent="0.25">
      <c r="B44" s="110"/>
      <c r="C44" s="112" t="s">
        <v>305</v>
      </c>
      <c r="D44" s="163">
        <f>VLOOKUP($T$41,Pipe_Chart,T42+2,FALSE)</f>
        <v>0.59399999999999997</v>
      </c>
      <c r="E44" s="116" t="s">
        <v>296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3"/>
      <c r="AD44" s="49"/>
      <c r="AE44" s="49"/>
    </row>
    <row r="45" spans="1:42" ht="18.75" customHeight="1" x14ac:dyDescent="0.25">
      <c r="B45" s="110"/>
      <c r="C45" s="112" t="s">
        <v>310</v>
      </c>
      <c r="D45" s="163">
        <f>D43-D44*2</f>
        <v>9.5619999999999994</v>
      </c>
      <c r="E45" s="116" t="s">
        <v>296</v>
      </c>
      <c r="F45" s="111"/>
      <c r="G45" s="111"/>
      <c r="H45" s="111"/>
      <c r="I45" s="111"/>
      <c r="J45" s="111"/>
      <c r="K45" s="111"/>
      <c r="L45" s="111"/>
      <c r="M45" s="111"/>
      <c r="N45" s="111"/>
      <c r="O45" s="113"/>
      <c r="AD45" s="49"/>
      <c r="AE45" s="49"/>
    </row>
    <row r="46" spans="1:42" ht="18.75" customHeight="1" x14ac:dyDescent="0.25">
      <c r="B46" s="110"/>
      <c r="C46" s="112" t="s">
        <v>306</v>
      </c>
      <c r="D46" s="163">
        <f>PI()*(D45/2)^2</f>
        <v>71.81040235364199</v>
      </c>
      <c r="E46" s="116" t="s">
        <v>307</v>
      </c>
      <c r="F46" s="111"/>
      <c r="G46" s="111"/>
      <c r="H46" s="111"/>
      <c r="I46" s="111"/>
      <c r="J46" s="111"/>
      <c r="K46" s="111"/>
      <c r="L46" s="111"/>
      <c r="M46" s="111"/>
      <c r="N46" s="111"/>
      <c r="O46" s="113"/>
      <c r="AD46" s="49"/>
      <c r="AE46" s="49"/>
    </row>
    <row r="47" spans="1:42" ht="18.75" customHeight="1" x14ac:dyDescent="0.25">
      <c r="B47" s="110"/>
      <c r="C47" s="112"/>
      <c r="D47" s="163"/>
      <c r="E47" s="116"/>
      <c r="F47" s="111"/>
      <c r="G47" s="111"/>
      <c r="H47" s="111"/>
      <c r="I47" s="111"/>
      <c r="J47" s="111"/>
      <c r="K47" s="111"/>
      <c r="L47" s="111"/>
      <c r="M47" s="111"/>
      <c r="N47" s="111"/>
      <c r="O47" s="113"/>
      <c r="AD47" s="49"/>
      <c r="AE47" s="49"/>
    </row>
    <row r="48" spans="1:42" ht="18.75" customHeight="1" x14ac:dyDescent="0.25">
      <c r="B48" s="110"/>
      <c r="C48" s="112" t="s">
        <v>308</v>
      </c>
      <c r="D48" s="164">
        <f>D13*60/D46*unit_preference_length_inch^2</f>
        <v>2128.8334817537725</v>
      </c>
      <c r="E48" s="116" t="str">
        <f>IF(units_pref=1," ft/min"," m/min")</f>
        <v xml:space="preserve"> ft/min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3"/>
      <c r="AD48" s="49"/>
      <c r="AE48" s="49"/>
    </row>
    <row r="49" spans="1:42" ht="18.75" customHeight="1" x14ac:dyDescent="0.25">
      <c r="B49" s="110"/>
      <c r="C49" s="112"/>
      <c r="D49" s="165" t="str">
        <f>IF(D48&gt;3000*unit_preference_length,"Exceed conservative limits, please select larger ID pipe.","Sizing is ok - within conservative limits.")</f>
        <v>Sizing is ok - within conservative limits.</v>
      </c>
      <c r="E49" s="116"/>
      <c r="F49" s="111"/>
      <c r="G49" s="111"/>
      <c r="H49" s="111"/>
      <c r="I49" s="111"/>
      <c r="J49" s="111"/>
      <c r="K49" s="111"/>
      <c r="L49" s="111"/>
      <c r="M49" s="111"/>
      <c r="N49" s="111"/>
      <c r="O49" s="113"/>
      <c r="AD49" s="49"/>
      <c r="AE49" s="49"/>
    </row>
    <row r="50" spans="1:42" ht="18.75" customHeight="1" x14ac:dyDescent="0.25">
      <c r="B50" s="110"/>
      <c r="C50" s="112"/>
      <c r="D50" s="163"/>
      <c r="E50" s="116"/>
      <c r="F50" s="111"/>
      <c r="G50" s="111"/>
      <c r="H50" s="111"/>
      <c r="I50" s="111"/>
      <c r="J50" s="111"/>
      <c r="K50" s="111"/>
      <c r="L50" s="111"/>
      <c r="M50" s="111"/>
      <c r="N50" s="111"/>
      <c r="O50" s="113"/>
      <c r="S50" s="59"/>
      <c r="T50" s="62"/>
      <c r="AD50" s="49"/>
      <c r="AE50" s="49"/>
    </row>
    <row r="51" spans="1:42" ht="18.75" customHeight="1" x14ac:dyDescent="0.25">
      <c r="B51" s="110"/>
      <c r="C51" s="111"/>
      <c r="D51" s="111"/>
      <c r="E51" s="166"/>
      <c r="F51" s="111"/>
      <c r="G51" s="141"/>
      <c r="H51" s="141"/>
      <c r="I51" s="141"/>
      <c r="J51" s="141"/>
      <c r="K51" s="141"/>
      <c r="L51" s="167"/>
      <c r="M51" s="111"/>
      <c r="N51" s="111"/>
      <c r="O51" s="113"/>
      <c r="AD51" s="49"/>
      <c r="AE51" s="49"/>
    </row>
    <row r="52" spans="1:42" ht="18.75" customHeight="1" thickBot="1" x14ac:dyDescent="0.3">
      <c r="B52" s="168"/>
      <c r="C52" s="169" t="s">
        <v>324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70"/>
      <c r="AD52" s="49"/>
      <c r="AE52" s="49"/>
    </row>
    <row r="53" spans="1:42" ht="18.75" customHeight="1" x14ac:dyDescent="0.25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6"/>
      <c r="AC53" s="106"/>
      <c r="AD53" s="175"/>
      <c r="AE53" s="175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</row>
    <row r="54" spans="1:42" s="176" customFormat="1" ht="18.75" hidden="1" customHeight="1" x14ac:dyDescent="0.25">
      <c r="A54" s="18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8"/>
      <c r="AC54" s="178"/>
      <c r="AD54" s="179"/>
      <c r="AE54" s="179"/>
    </row>
    <row r="55" spans="1:42" s="176" customFormat="1" ht="18.75" hidden="1" customHeight="1" x14ac:dyDescent="0.25">
      <c r="A55" s="18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8"/>
      <c r="AC55" s="178"/>
      <c r="AD55" s="179"/>
      <c r="AE55" s="179"/>
    </row>
    <row r="56" spans="1:42" s="176" customFormat="1" ht="18.75" hidden="1" customHeight="1" x14ac:dyDescent="0.25">
      <c r="A56" s="18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8"/>
      <c r="AC56" s="178"/>
      <c r="AD56" s="179"/>
      <c r="AE56" s="179"/>
    </row>
    <row r="57" spans="1:42" s="176" customFormat="1" ht="18.75" hidden="1" customHeight="1" x14ac:dyDescent="0.25">
      <c r="A57" s="18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8"/>
      <c r="AC57" s="178"/>
      <c r="AD57" s="179"/>
      <c r="AE57" s="179"/>
    </row>
    <row r="58" spans="1:42" s="176" customFormat="1" ht="18.75" hidden="1" customHeight="1" x14ac:dyDescent="0.25">
      <c r="A58" s="18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8"/>
      <c r="AC58" s="178"/>
      <c r="AD58" s="179"/>
      <c r="AE58" s="179"/>
    </row>
    <row r="59" spans="1:42" s="176" customFormat="1" ht="18.75" hidden="1" customHeight="1" x14ac:dyDescent="0.25">
      <c r="A59" s="18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8"/>
      <c r="AC59" s="178"/>
      <c r="AD59" s="179"/>
      <c r="AE59" s="179"/>
    </row>
    <row r="60" spans="1:42" s="176" customFormat="1" ht="18.75" hidden="1" customHeight="1" x14ac:dyDescent="0.25">
      <c r="A60" s="18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8"/>
      <c r="AC60" s="178"/>
      <c r="AD60" s="179"/>
      <c r="AE60" s="179"/>
    </row>
    <row r="61" spans="1:42" s="176" customFormat="1" ht="18.75" hidden="1" customHeight="1" x14ac:dyDescent="0.25">
      <c r="A61" s="18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8"/>
      <c r="AC61" s="178"/>
      <c r="AD61" s="179"/>
      <c r="AE61" s="179"/>
    </row>
    <row r="62" spans="1:42" s="176" customFormat="1" ht="18.75" hidden="1" customHeight="1" x14ac:dyDescent="0.25">
      <c r="A62" s="18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8"/>
      <c r="AC62" s="178"/>
      <c r="AD62" s="179"/>
      <c r="AE62" s="179"/>
    </row>
    <row r="63" spans="1:42" s="176" customFormat="1" ht="18.75" hidden="1" customHeight="1" x14ac:dyDescent="0.25">
      <c r="A63" s="18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8"/>
      <c r="AC63" s="178"/>
      <c r="AD63" s="179"/>
      <c r="AE63" s="179"/>
    </row>
    <row r="64" spans="1:42" s="176" customFormat="1" ht="18.75" hidden="1" customHeight="1" x14ac:dyDescent="0.25">
      <c r="A64" s="18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8"/>
      <c r="AC64" s="178"/>
      <c r="AD64" s="179"/>
      <c r="AE64" s="179"/>
    </row>
    <row r="65" spans="1:31" s="176" customFormat="1" ht="18.75" hidden="1" customHeight="1" x14ac:dyDescent="0.25">
      <c r="A65" s="18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8"/>
      <c r="AC65" s="178"/>
      <c r="AD65" s="179"/>
      <c r="AE65" s="179"/>
    </row>
    <row r="66" spans="1:31" s="176" customFormat="1" ht="18.75" hidden="1" customHeight="1" x14ac:dyDescent="0.25">
      <c r="A66" s="18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8"/>
      <c r="AC66" s="178"/>
      <c r="AD66" s="179"/>
      <c r="AE66" s="179"/>
    </row>
    <row r="67" spans="1:31" s="176" customFormat="1" ht="18.75" hidden="1" customHeight="1" x14ac:dyDescent="0.25">
      <c r="A67" s="18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8"/>
      <c r="AC67" s="178"/>
      <c r="AD67" s="179"/>
      <c r="AE67" s="179"/>
    </row>
    <row r="68" spans="1:31" s="176" customFormat="1" ht="18.75" hidden="1" customHeight="1" x14ac:dyDescent="0.25">
      <c r="A68" s="18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8"/>
      <c r="AC68" s="178"/>
      <c r="AD68" s="179"/>
      <c r="AE68" s="179"/>
    </row>
    <row r="69" spans="1:31" s="176" customFormat="1" ht="18.75" hidden="1" customHeight="1" x14ac:dyDescent="0.25">
      <c r="A69" s="18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8"/>
      <c r="AC69" s="178"/>
      <c r="AD69" s="179"/>
      <c r="AE69" s="179"/>
    </row>
    <row r="70" spans="1:31" s="176" customFormat="1" ht="18.75" hidden="1" customHeight="1" x14ac:dyDescent="0.25">
      <c r="A70" s="18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8"/>
      <c r="AC70" s="178"/>
      <c r="AD70" s="179"/>
      <c r="AE70" s="179"/>
    </row>
    <row r="71" spans="1:31" s="176" customFormat="1" ht="18.75" hidden="1" customHeight="1" x14ac:dyDescent="0.25">
      <c r="A71" s="180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8"/>
      <c r="AC71" s="178"/>
      <c r="AD71" s="179"/>
      <c r="AE71" s="179"/>
    </row>
    <row r="72" spans="1:31" s="176" customFormat="1" ht="18.75" hidden="1" customHeight="1" x14ac:dyDescent="0.25">
      <c r="A72" s="18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8"/>
      <c r="AC72" s="178"/>
      <c r="AD72" s="179"/>
      <c r="AE72" s="179"/>
    </row>
    <row r="73" spans="1:31" s="176" customFormat="1" ht="18.75" hidden="1" customHeight="1" x14ac:dyDescent="0.25">
      <c r="A73" s="18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8"/>
      <c r="AC73" s="178"/>
      <c r="AD73" s="179"/>
      <c r="AE73" s="179"/>
    </row>
    <row r="74" spans="1:31" s="176" customFormat="1" ht="18.75" hidden="1" customHeight="1" x14ac:dyDescent="0.25">
      <c r="A74" s="180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8"/>
      <c r="AC74" s="178"/>
      <c r="AD74" s="179"/>
      <c r="AE74" s="179"/>
    </row>
    <row r="75" spans="1:31" s="176" customFormat="1" ht="18.75" hidden="1" customHeight="1" x14ac:dyDescent="0.25">
      <c r="A75" s="180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8"/>
      <c r="AC75" s="178"/>
      <c r="AD75" s="179"/>
      <c r="AE75" s="179"/>
    </row>
    <row r="76" spans="1:31" s="176" customFormat="1" ht="18.75" hidden="1" customHeight="1" x14ac:dyDescent="0.25">
      <c r="A76" s="180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8"/>
      <c r="AC76" s="178"/>
      <c r="AD76" s="179"/>
      <c r="AE76" s="179"/>
    </row>
    <row r="77" spans="1:31" s="176" customFormat="1" ht="18.75" hidden="1" customHeight="1" x14ac:dyDescent="0.25">
      <c r="A77" s="180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8"/>
      <c r="AC77" s="178"/>
      <c r="AD77" s="179"/>
      <c r="AE77" s="179"/>
    </row>
    <row r="78" spans="1:31" s="176" customFormat="1" ht="18.75" hidden="1" customHeight="1" x14ac:dyDescent="0.25">
      <c r="A78" s="18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8"/>
      <c r="AC78" s="178"/>
      <c r="AD78" s="179"/>
      <c r="AE78" s="179"/>
    </row>
    <row r="79" spans="1:31" s="176" customFormat="1" ht="18.75" hidden="1" customHeight="1" x14ac:dyDescent="0.25">
      <c r="A79" s="18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8"/>
      <c r="AC79" s="178"/>
      <c r="AD79" s="179"/>
      <c r="AE79" s="179"/>
    </row>
    <row r="80" spans="1:31" s="176" customFormat="1" ht="18.75" hidden="1" customHeight="1" x14ac:dyDescent="0.25">
      <c r="A80" s="18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8"/>
      <c r="AC80" s="178"/>
      <c r="AD80" s="179"/>
      <c r="AE80" s="179"/>
    </row>
    <row r="81" spans="1:31" s="176" customFormat="1" ht="18.75" hidden="1" customHeight="1" x14ac:dyDescent="0.25">
      <c r="A81" s="180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8"/>
      <c r="AC81" s="178"/>
      <c r="AD81" s="179"/>
      <c r="AE81" s="179"/>
    </row>
    <row r="82" spans="1:31" s="176" customFormat="1" ht="18.75" hidden="1" customHeight="1" x14ac:dyDescent="0.25">
      <c r="A82" s="180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8"/>
      <c r="AC82" s="178"/>
      <c r="AD82" s="179"/>
      <c r="AE82" s="179"/>
    </row>
    <row r="83" spans="1:31" s="176" customFormat="1" ht="18.75" hidden="1" customHeight="1" x14ac:dyDescent="0.25">
      <c r="A83" s="18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8"/>
      <c r="AC83" s="178"/>
      <c r="AD83" s="179"/>
      <c r="AE83" s="179"/>
    </row>
    <row r="84" spans="1:31" s="176" customFormat="1" ht="18.75" hidden="1" customHeight="1" x14ac:dyDescent="0.25">
      <c r="A84" s="18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8"/>
      <c r="AC84" s="178"/>
      <c r="AD84" s="179"/>
      <c r="AE84" s="179"/>
    </row>
    <row r="85" spans="1:31" s="176" customFormat="1" ht="18.75" hidden="1" customHeight="1" x14ac:dyDescent="0.25">
      <c r="A85" s="18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8"/>
      <c r="AC85" s="178"/>
      <c r="AD85" s="179"/>
      <c r="AE85" s="179"/>
    </row>
    <row r="86" spans="1:31" s="176" customFormat="1" ht="18.75" hidden="1" customHeight="1" x14ac:dyDescent="0.25">
      <c r="A86" s="180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8"/>
      <c r="AC86" s="178"/>
      <c r="AD86" s="179"/>
      <c r="AE86" s="179"/>
    </row>
    <row r="87" spans="1:31" s="176" customFormat="1" ht="18.75" hidden="1" customHeight="1" x14ac:dyDescent="0.25">
      <c r="A87" s="180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8"/>
      <c r="AC87" s="178"/>
      <c r="AD87" s="179"/>
      <c r="AE87" s="179"/>
    </row>
    <row r="88" spans="1:31" s="176" customFormat="1" ht="18.75" hidden="1" customHeight="1" x14ac:dyDescent="0.25">
      <c r="A88" s="180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8"/>
      <c r="AC88" s="178"/>
      <c r="AD88" s="179"/>
      <c r="AE88" s="179"/>
    </row>
    <row r="89" spans="1:31" s="176" customFormat="1" ht="18.75" hidden="1" customHeight="1" x14ac:dyDescent="0.25">
      <c r="A89" s="180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8"/>
      <c r="AC89" s="178"/>
      <c r="AD89" s="179"/>
      <c r="AE89" s="179"/>
    </row>
    <row r="90" spans="1:31" s="176" customFormat="1" ht="18.75" hidden="1" customHeight="1" x14ac:dyDescent="0.25">
      <c r="A90" s="180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8"/>
      <c r="AC90" s="178"/>
      <c r="AD90" s="179"/>
      <c r="AE90" s="179"/>
    </row>
    <row r="91" spans="1:31" s="176" customFormat="1" ht="18.75" hidden="1" customHeight="1" x14ac:dyDescent="0.25">
      <c r="A91" s="180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8"/>
      <c r="AC91" s="178"/>
      <c r="AD91" s="179"/>
      <c r="AE91" s="179"/>
    </row>
    <row r="92" spans="1:31" s="176" customFormat="1" ht="18.75" hidden="1" customHeight="1" x14ac:dyDescent="0.25">
      <c r="A92" s="180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8"/>
      <c r="AC92" s="178"/>
      <c r="AD92" s="179"/>
      <c r="AE92" s="179"/>
    </row>
    <row r="93" spans="1:31" s="176" customFormat="1" ht="18.75" hidden="1" customHeight="1" x14ac:dyDescent="0.25">
      <c r="A93" s="180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8"/>
      <c r="AC93" s="178"/>
      <c r="AD93" s="179"/>
      <c r="AE93" s="179"/>
    </row>
    <row r="94" spans="1:31" s="176" customFormat="1" ht="18.75" hidden="1" customHeight="1" x14ac:dyDescent="0.25">
      <c r="A94" s="180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8"/>
      <c r="AC94" s="178"/>
      <c r="AD94" s="179"/>
      <c r="AE94" s="179"/>
    </row>
    <row r="95" spans="1:31" s="176" customFormat="1" ht="18.75" hidden="1" customHeight="1" x14ac:dyDescent="0.25">
      <c r="A95" s="180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8"/>
      <c r="AC95" s="178"/>
      <c r="AD95" s="179"/>
      <c r="AE95" s="179"/>
    </row>
    <row r="96" spans="1:31" s="176" customFormat="1" ht="18.75" hidden="1" customHeight="1" x14ac:dyDescent="0.25">
      <c r="A96" s="180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8"/>
      <c r="AC96" s="178"/>
      <c r="AD96" s="179"/>
      <c r="AE96" s="179"/>
    </row>
    <row r="97" spans="1:31" s="176" customFormat="1" ht="18.75" hidden="1" customHeight="1" x14ac:dyDescent="0.25">
      <c r="A97" s="180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8"/>
      <c r="AC97" s="178"/>
      <c r="AD97" s="179"/>
      <c r="AE97" s="179"/>
    </row>
    <row r="98" spans="1:31" s="176" customFormat="1" ht="18.75" hidden="1" customHeight="1" x14ac:dyDescent="0.25">
      <c r="A98" s="180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8"/>
      <c r="AC98" s="178"/>
      <c r="AD98" s="179"/>
      <c r="AE98" s="179"/>
    </row>
    <row r="99" spans="1:31" s="176" customFormat="1" ht="18.75" hidden="1" customHeight="1" x14ac:dyDescent="0.25">
      <c r="A99" s="180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8"/>
      <c r="AC99" s="178"/>
      <c r="AD99" s="179"/>
      <c r="AE99" s="179"/>
    </row>
    <row r="100" spans="1:31" s="176" customFormat="1" ht="18.75" hidden="1" customHeight="1" x14ac:dyDescent="0.25">
      <c r="A100" s="180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8"/>
      <c r="AC100" s="178"/>
      <c r="AD100" s="179"/>
      <c r="AE100" s="179"/>
    </row>
    <row r="101" spans="1:31" s="176" customFormat="1" ht="18.75" hidden="1" customHeight="1" x14ac:dyDescent="0.25">
      <c r="A101" s="180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8"/>
      <c r="AC101" s="178"/>
      <c r="AD101" s="179"/>
      <c r="AE101" s="179"/>
    </row>
    <row r="102" spans="1:31" s="176" customFormat="1" ht="18.75" hidden="1" customHeight="1" x14ac:dyDescent="0.25">
      <c r="A102" s="180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8"/>
      <c r="AC102" s="178"/>
      <c r="AD102" s="179"/>
      <c r="AE102" s="179"/>
    </row>
    <row r="103" spans="1:31" s="176" customFormat="1" ht="18.75" hidden="1" customHeight="1" x14ac:dyDescent="0.25">
      <c r="A103" s="180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8"/>
      <c r="AC103" s="178"/>
      <c r="AD103" s="179"/>
      <c r="AE103" s="179"/>
    </row>
    <row r="104" spans="1:31" s="176" customFormat="1" ht="18.75" hidden="1" customHeight="1" x14ac:dyDescent="0.25">
      <c r="A104" s="180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8"/>
      <c r="AC104" s="178"/>
      <c r="AD104" s="179"/>
      <c r="AE104" s="179"/>
    </row>
    <row r="105" spans="1:31" s="176" customFormat="1" ht="18.75" hidden="1" customHeight="1" x14ac:dyDescent="0.25">
      <c r="A105" s="180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8"/>
      <c r="AC105" s="178"/>
      <c r="AD105" s="179"/>
      <c r="AE105" s="179"/>
    </row>
    <row r="106" spans="1:31" s="176" customFormat="1" ht="18.75" hidden="1" customHeight="1" x14ac:dyDescent="0.25">
      <c r="A106" s="180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8"/>
      <c r="AC106" s="178"/>
      <c r="AD106" s="179"/>
      <c r="AE106" s="179"/>
    </row>
    <row r="107" spans="1:31" s="176" customFormat="1" ht="18.75" hidden="1" customHeight="1" x14ac:dyDescent="0.25">
      <c r="A107" s="180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8"/>
      <c r="AC107" s="178"/>
      <c r="AD107" s="179"/>
      <c r="AE107" s="179"/>
    </row>
    <row r="108" spans="1:31" s="176" customFormat="1" ht="18.75" hidden="1" customHeight="1" x14ac:dyDescent="0.25">
      <c r="A108" s="180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8"/>
      <c r="AC108" s="178"/>
      <c r="AD108" s="179"/>
      <c r="AE108" s="179"/>
    </row>
    <row r="109" spans="1:31" s="176" customFormat="1" ht="18.75" hidden="1" customHeight="1" x14ac:dyDescent="0.25">
      <c r="A109" s="180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8"/>
      <c r="AC109" s="178"/>
      <c r="AD109" s="179"/>
      <c r="AE109" s="179"/>
    </row>
    <row r="110" spans="1:31" s="176" customFormat="1" ht="18.75" hidden="1" customHeight="1" x14ac:dyDescent="0.25">
      <c r="A110" s="18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8"/>
      <c r="AC110" s="178"/>
      <c r="AD110" s="179"/>
      <c r="AE110" s="179"/>
    </row>
    <row r="111" spans="1:31" s="176" customFormat="1" ht="18.75" hidden="1" customHeight="1" x14ac:dyDescent="0.25">
      <c r="A111" s="180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8"/>
      <c r="AC111" s="178"/>
      <c r="AD111" s="179"/>
      <c r="AE111" s="179"/>
    </row>
    <row r="112" spans="1:31" s="176" customFormat="1" ht="18.75" hidden="1" customHeight="1" x14ac:dyDescent="0.25">
      <c r="A112" s="180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8"/>
      <c r="AC112" s="178"/>
      <c r="AD112" s="179"/>
      <c r="AE112" s="179"/>
    </row>
    <row r="113" spans="1:31" s="176" customFormat="1" ht="18.75" hidden="1" customHeight="1" x14ac:dyDescent="0.25">
      <c r="A113" s="180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8"/>
      <c r="AC113" s="178"/>
      <c r="AD113" s="179"/>
      <c r="AE113" s="179"/>
    </row>
    <row r="114" spans="1:31" s="176" customFormat="1" ht="18.75" hidden="1" customHeight="1" x14ac:dyDescent="0.25">
      <c r="A114" s="180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8"/>
      <c r="AC114" s="178"/>
      <c r="AD114" s="179"/>
      <c r="AE114" s="179"/>
    </row>
    <row r="115" spans="1:31" s="176" customFormat="1" ht="18.75" hidden="1" customHeight="1" x14ac:dyDescent="0.25">
      <c r="A115" s="180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8"/>
      <c r="AC115" s="178"/>
      <c r="AD115" s="179"/>
      <c r="AE115" s="179"/>
    </row>
    <row r="116" spans="1:31" s="176" customFormat="1" ht="18.75" hidden="1" customHeight="1" x14ac:dyDescent="0.25">
      <c r="A116" s="180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8"/>
      <c r="AC116" s="178"/>
      <c r="AD116" s="179"/>
      <c r="AE116" s="179"/>
    </row>
    <row r="117" spans="1:31" s="176" customFormat="1" ht="18.75" hidden="1" customHeight="1" x14ac:dyDescent="0.25">
      <c r="A117" s="180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8"/>
      <c r="AC117" s="178"/>
      <c r="AD117" s="179"/>
      <c r="AE117" s="179"/>
    </row>
    <row r="118" spans="1:31" s="176" customFormat="1" ht="18.75" hidden="1" customHeight="1" x14ac:dyDescent="0.25">
      <c r="A118" s="180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8"/>
      <c r="AC118" s="178"/>
      <c r="AD118" s="179"/>
      <c r="AE118" s="179"/>
    </row>
    <row r="119" spans="1:31" s="176" customFormat="1" ht="18.75" hidden="1" customHeight="1" x14ac:dyDescent="0.25">
      <c r="A119" s="180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8"/>
      <c r="AC119" s="178"/>
      <c r="AD119" s="179"/>
      <c r="AE119" s="179"/>
    </row>
    <row r="120" spans="1:31" s="176" customFormat="1" ht="18.75" hidden="1" customHeight="1" x14ac:dyDescent="0.25">
      <c r="A120" s="180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8"/>
      <c r="AC120" s="178"/>
      <c r="AD120" s="179"/>
      <c r="AE120" s="179"/>
    </row>
    <row r="121" spans="1:31" s="176" customFormat="1" ht="18.75" hidden="1" customHeight="1" x14ac:dyDescent="0.25">
      <c r="A121" s="180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8"/>
      <c r="AC121" s="178"/>
      <c r="AD121" s="179"/>
      <c r="AE121" s="179"/>
    </row>
    <row r="122" spans="1:31" s="176" customFormat="1" ht="18.75" hidden="1" customHeight="1" x14ac:dyDescent="0.25">
      <c r="A122" s="180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8"/>
      <c r="AC122" s="178"/>
      <c r="AD122" s="179"/>
      <c r="AE122" s="179"/>
    </row>
    <row r="123" spans="1:31" s="176" customFormat="1" ht="18.75" hidden="1" customHeight="1" x14ac:dyDescent="0.25">
      <c r="A123" s="180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8"/>
      <c r="AC123" s="178"/>
      <c r="AD123" s="179"/>
      <c r="AE123" s="179"/>
    </row>
    <row r="124" spans="1:31" s="176" customFormat="1" ht="18.75" hidden="1" customHeight="1" x14ac:dyDescent="0.25">
      <c r="A124" s="180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8"/>
      <c r="AC124" s="178"/>
      <c r="AD124" s="179"/>
      <c r="AE124" s="179"/>
    </row>
    <row r="125" spans="1:31" s="176" customFormat="1" ht="18.75" hidden="1" customHeight="1" x14ac:dyDescent="0.25">
      <c r="A125" s="180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8"/>
      <c r="AC125" s="178"/>
      <c r="AD125" s="179"/>
      <c r="AE125" s="179"/>
    </row>
    <row r="126" spans="1:31" s="176" customFormat="1" ht="18.75" hidden="1" customHeight="1" x14ac:dyDescent="0.25">
      <c r="A126" s="180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8"/>
      <c r="AC126" s="178"/>
      <c r="AD126" s="179"/>
      <c r="AE126" s="179"/>
    </row>
    <row r="127" spans="1:31" s="176" customFormat="1" ht="18.75" hidden="1" customHeight="1" x14ac:dyDescent="0.25">
      <c r="A127" s="180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8"/>
      <c r="AC127" s="178"/>
      <c r="AD127" s="179"/>
      <c r="AE127" s="179"/>
    </row>
    <row r="128" spans="1:31" s="176" customFormat="1" ht="18.75" hidden="1" customHeight="1" x14ac:dyDescent="0.25">
      <c r="A128" s="180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8"/>
      <c r="AC128" s="178"/>
      <c r="AD128" s="179"/>
      <c r="AE128" s="179"/>
    </row>
    <row r="129" spans="1:31" s="176" customFormat="1" ht="18.75" hidden="1" customHeight="1" x14ac:dyDescent="0.25">
      <c r="A129" s="180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8"/>
      <c r="AC129" s="178"/>
      <c r="AD129" s="179"/>
      <c r="AE129" s="179"/>
    </row>
    <row r="130" spans="1:31" s="176" customFormat="1" ht="18.75" hidden="1" customHeight="1" x14ac:dyDescent="0.25">
      <c r="A130" s="180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8"/>
      <c r="AC130" s="178"/>
      <c r="AD130" s="179"/>
      <c r="AE130" s="179"/>
    </row>
    <row r="131" spans="1:31" s="176" customFormat="1" ht="18.75" hidden="1" customHeight="1" x14ac:dyDescent="0.25">
      <c r="A131" s="180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8"/>
      <c r="AC131" s="178"/>
      <c r="AD131" s="179"/>
      <c r="AE131" s="179"/>
    </row>
    <row r="132" spans="1:31" s="176" customFormat="1" ht="18.75" hidden="1" customHeight="1" x14ac:dyDescent="0.25">
      <c r="A132" s="180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8"/>
      <c r="AC132" s="178"/>
      <c r="AD132" s="179"/>
      <c r="AE132" s="179"/>
    </row>
    <row r="133" spans="1:31" s="176" customFormat="1" ht="18.75" hidden="1" customHeight="1" x14ac:dyDescent="0.25">
      <c r="A133" s="180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8"/>
      <c r="AC133" s="178"/>
      <c r="AD133" s="179"/>
      <c r="AE133" s="179"/>
    </row>
    <row r="134" spans="1:31" s="176" customFormat="1" ht="18.75" hidden="1" customHeight="1" x14ac:dyDescent="0.25">
      <c r="A134" s="180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8"/>
      <c r="AC134" s="178"/>
      <c r="AD134" s="179"/>
      <c r="AE134" s="179"/>
    </row>
    <row r="135" spans="1:31" s="176" customFormat="1" ht="18.75" hidden="1" customHeight="1" x14ac:dyDescent="0.25">
      <c r="A135" s="180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8"/>
      <c r="AC135" s="178"/>
      <c r="AD135" s="179"/>
      <c r="AE135" s="179"/>
    </row>
    <row r="136" spans="1:31" s="176" customFormat="1" ht="18.75" hidden="1" customHeight="1" x14ac:dyDescent="0.25">
      <c r="A136" s="180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8"/>
      <c r="AC136" s="178"/>
      <c r="AD136" s="179"/>
      <c r="AE136" s="179"/>
    </row>
    <row r="137" spans="1:31" s="176" customFormat="1" ht="18.75" hidden="1" customHeight="1" x14ac:dyDescent="0.25">
      <c r="A137" s="180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8"/>
      <c r="AC137" s="178"/>
      <c r="AD137" s="179"/>
      <c r="AE137" s="179"/>
    </row>
    <row r="138" spans="1:31" s="176" customFormat="1" ht="18.75" hidden="1" customHeight="1" x14ac:dyDescent="0.25">
      <c r="A138" s="180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8"/>
      <c r="AC138" s="178"/>
      <c r="AD138" s="179"/>
      <c r="AE138" s="179"/>
    </row>
    <row r="139" spans="1:31" s="176" customFormat="1" ht="18.75" hidden="1" customHeight="1" x14ac:dyDescent="0.25">
      <c r="A139" s="180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8"/>
      <c r="AC139" s="178"/>
      <c r="AD139" s="179"/>
      <c r="AE139" s="179"/>
    </row>
    <row r="140" spans="1:31" s="176" customFormat="1" ht="18.75" hidden="1" customHeight="1" x14ac:dyDescent="0.25">
      <c r="A140" s="180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8"/>
      <c r="AC140" s="178"/>
      <c r="AD140" s="179"/>
      <c r="AE140" s="179"/>
    </row>
    <row r="141" spans="1:31" s="176" customFormat="1" ht="18.75" hidden="1" customHeight="1" x14ac:dyDescent="0.25">
      <c r="A141" s="180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8"/>
      <c r="AC141" s="178"/>
      <c r="AD141" s="179"/>
      <c r="AE141" s="179"/>
    </row>
    <row r="142" spans="1:31" s="176" customFormat="1" ht="18.75" hidden="1" customHeight="1" x14ac:dyDescent="0.25">
      <c r="A142" s="180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8"/>
      <c r="AC142" s="178"/>
      <c r="AD142" s="179"/>
      <c r="AE142" s="179"/>
    </row>
    <row r="143" spans="1:31" s="176" customFormat="1" ht="18.75" hidden="1" customHeight="1" x14ac:dyDescent="0.25">
      <c r="A143" s="180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8"/>
      <c r="AC143" s="178"/>
      <c r="AD143" s="179"/>
      <c r="AE143" s="179"/>
    </row>
    <row r="144" spans="1:31" s="176" customFormat="1" ht="18.75" hidden="1" customHeight="1" x14ac:dyDescent="0.25">
      <c r="A144" s="180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8"/>
      <c r="AC144" s="178"/>
      <c r="AD144" s="179"/>
      <c r="AE144" s="179"/>
    </row>
    <row r="145" spans="1:31" s="176" customFormat="1" ht="18.75" hidden="1" customHeight="1" x14ac:dyDescent="0.25">
      <c r="A145" s="180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8"/>
      <c r="AC145" s="178"/>
      <c r="AD145" s="179"/>
      <c r="AE145" s="179"/>
    </row>
    <row r="146" spans="1:31" s="176" customFormat="1" ht="18.75" hidden="1" customHeight="1" x14ac:dyDescent="0.25">
      <c r="A146" s="180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8"/>
      <c r="AC146" s="178"/>
      <c r="AD146" s="179"/>
      <c r="AE146" s="179"/>
    </row>
    <row r="147" spans="1:31" s="176" customFormat="1" ht="18.75" hidden="1" customHeight="1" x14ac:dyDescent="0.25">
      <c r="A147" s="180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8"/>
      <c r="AC147" s="178"/>
      <c r="AD147" s="179"/>
      <c r="AE147" s="179"/>
    </row>
    <row r="148" spans="1:31" s="176" customFormat="1" ht="18.75" hidden="1" customHeight="1" x14ac:dyDescent="0.25">
      <c r="A148" s="180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8"/>
      <c r="AC148" s="178"/>
      <c r="AD148" s="179"/>
      <c r="AE148" s="179"/>
    </row>
    <row r="149" spans="1:31" s="176" customFormat="1" ht="18.75" hidden="1" customHeight="1" x14ac:dyDescent="0.25">
      <c r="A149" s="180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8"/>
      <c r="AC149" s="178"/>
      <c r="AD149" s="179"/>
      <c r="AE149" s="179"/>
    </row>
    <row r="150" spans="1:31" s="176" customFormat="1" ht="18.75" hidden="1" customHeight="1" x14ac:dyDescent="0.25">
      <c r="A150" s="180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8"/>
      <c r="AC150" s="178"/>
      <c r="AD150" s="179"/>
      <c r="AE150" s="179"/>
    </row>
    <row r="151" spans="1:31" s="176" customFormat="1" ht="18.75" hidden="1" customHeight="1" x14ac:dyDescent="0.25">
      <c r="A151" s="180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8"/>
      <c r="AC151" s="178"/>
      <c r="AD151" s="179"/>
      <c r="AE151" s="179"/>
    </row>
    <row r="152" spans="1:31" s="176" customFormat="1" ht="18.75" hidden="1" customHeight="1" x14ac:dyDescent="0.25">
      <c r="A152" s="180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8"/>
      <c r="AC152" s="178"/>
      <c r="AD152" s="179"/>
      <c r="AE152" s="179"/>
    </row>
    <row r="153" spans="1:31" s="176" customFormat="1" ht="18.75" hidden="1" customHeight="1" x14ac:dyDescent="0.25">
      <c r="A153" s="180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8"/>
      <c r="AC153" s="178"/>
      <c r="AD153" s="179"/>
      <c r="AE153" s="179"/>
    </row>
    <row r="154" spans="1:31" s="176" customFormat="1" ht="18.75" hidden="1" customHeight="1" x14ac:dyDescent="0.25">
      <c r="A154" s="180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8"/>
      <c r="AC154" s="178"/>
      <c r="AD154" s="179"/>
      <c r="AE154" s="179"/>
    </row>
    <row r="155" spans="1:31" s="176" customFormat="1" ht="18.75" hidden="1" customHeight="1" x14ac:dyDescent="0.25">
      <c r="A155" s="180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8"/>
      <c r="AC155" s="178"/>
      <c r="AD155" s="179"/>
      <c r="AE155" s="179"/>
    </row>
    <row r="156" spans="1:31" s="176" customFormat="1" ht="18.75" hidden="1" customHeight="1" x14ac:dyDescent="0.25">
      <c r="A156" s="180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8"/>
      <c r="AC156" s="178"/>
      <c r="AD156" s="179"/>
      <c r="AE156" s="179"/>
    </row>
    <row r="157" spans="1:31" s="176" customFormat="1" ht="18.75" hidden="1" customHeight="1" x14ac:dyDescent="0.25">
      <c r="A157" s="180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8"/>
      <c r="AC157" s="178"/>
      <c r="AD157" s="179"/>
      <c r="AE157" s="179"/>
    </row>
    <row r="158" spans="1:31" s="176" customFormat="1" ht="18.75" hidden="1" customHeight="1" x14ac:dyDescent="0.25">
      <c r="A158" s="180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8"/>
      <c r="AC158" s="178"/>
      <c r="AD158" s="179"/>
      <c r="AE158" s="179"/>
    </row>
    <row r="159" spans="1:31" s="176" customFormat="1" ht="18.75" hidden="1" customHeight="1" x14ac:dyDescent="0.25">
      <c r="A159" s="180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8"/>
      <c r="AC159" s="178"/>
      <c r="AD159" s="179"/>
      <c r="AE159" s="179"/>
    </row>
    <row r="160" spans="1:31" s="176" customFormat="1" ht="18.75" hidden="1" customHeight="1" x14ac:dyDescent="0.25">
      <c r="A160" s="180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8"/>
      <c r="AC160" s="178"/>
      <c r="AD160" s="179"/>
      <c r="AE160" s="179"/>
    </row>
    <row r="161" spans="1:31" s="176" customFormat="1" ht="18.75" hidden="1" customHeight="1" x14ac:dyDescent="0.25">
      <c r="A161" s="180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8"/>
      <c r="AC161" s="178"/>
      <c r="AD161" s="179"/>
      <c r="AE161" s="179"/>
    </row>
    <row r="162" spans="1:31" s="176" customFormat="1" ht="18.75" hidden="1" customHeight="1" x14ac:dyDescent="0.25">
      <c r="A162" s="180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8"/>
      <c r="AC162" s="178"/>
      <c r="AD162" s="179"/>
      <c r="AE162" s="179"/>
    </row>
    <row r="163" spans="1:31" s="176" customFormat="1" ht="18.75" hidden="1" customHeight="1" x14ac:dyDescent="0.25">
      <c r="A163" s="180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8"/>
      <c r="AC163" s="178"/>
      <c r="AD163" s="179"/>
      <c r="AE163" s="179"/>
    </row>
    <row r="164" spans="1:31" s="176" customFormat="1" ht="18.75" hidden="1" customHeight="1" x14ac:dyDescent="0.25">
      <c r="A164" s="180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8"/>
      <c r="AC164" s="178"/>
      <c r="AD164" s="179"/>
      <c r="AE164" s="179"/>
    </row>
    <row r="165" spans="1:31" s="176" customFormat="1" ht="18.75" hidden="1" customHeight="1" x14ac:dyDescent="0.25">
      <c r="A165" s="180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8"/>
      <c r="AC165" s="178"/>
      <c r="AD165" s="179"/>
      <c r="AE165" s="179"/>
    </row>
    <row r="166" spans="1:31" s="176" customFormat="1" ht="18.75" hidden="1" customHeight="1" x14ac:dyDescent="0.25">
      <c r="A166" s="180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8"/>
      <c r="AC166" s="178"/>
      <c r="AD166" s="179"/>
      <c r="AE166" s="179"/>
    </row>
    <row r="167" spans="1:31" s="176" customFormat="1" ht="18.75" hidden="1" customHeight="1" x14ac:dyDescent="0.25">
      <c r="A167" s="180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8"/>
      <c r="AC167" s="178"/>
      <c r="AD167" s="179"/>
      <c r="AE167" s="179"/>
    </row>
    <row r="168" spans="1:31" s="176" customFormat="1" ht="18.75" hidden="1" customHeight="1" x14ac:dyDescent="0.25">
      <c r="A168" s="180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8"/>
      <c r="AC168" s="178"/>
      <c r="AD168" s="179"/>
      <c r="AE168" s="179"/>
    </row>
    <row r="169" spans="1:31" s="176" customFormat="1" ht="18.75" hidden="1" customHeight="1" x14ac:dyDescent="0.25">
      <c r="A169" s="180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8"/>
      <c r="AC169" s="178"/>
      <c r="AD169" s="179"/>
      <c r="AE169" s="179"/>
    </row>
    <row r="170" spans="1:31" s="176" customFormat="1" ht="18.75" hidden="1" customHeight="1" x14ac:dyDescent="0.25">
      <c r="A170" s="180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8"/>
      <c r="AC170" s="178"/>
      <c r="AD170" s="179"/>
      <c r="AE170" s="179"/>
    </row>
    <row r="171" spans="1:31" s="176" customFormat="1" ht="18.75" hidden="1" customHeight="1" x14ac:dyDescent="0.25">
      <c r="A171" s="180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8"/>
      <c r="AC171" s="178"/>
      <c r="AD171" s="179"/>
      <c r="AE171" s="179"/>
    </row>
    <row r="172" spans="1:31" s="176" customFormat="1" ht="18.75" hidden="1" customHeight="1" x14ac:dyDescent="0.25">
      <c r="A172" s="180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8"/>
      <c r="AC172" s="178"/>
      <c r="AD172" s="179"/>
      <c r="AE172" s="179"/>
    </row>
    <row r="173" spans="1:31" s="176" customFormat="1" ht="18.75" hidden="1" customHeight="1" x14ac:dyDescent="0.25">
      <c r="A173" s="180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8"/>
      <c r="AC173" s="178"/>
      <c r="AD173" s="179"/>
      <c r="AE173" s="179"/>
    </row>
    <row r="174" spans="1:31" s="176" customFormat="1" ht="18.75" hidden="1" customHeight="1" x14ac:dyDescent="0.25">
      <c r="A174" s="180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8"/>
      <c r="AC174" s="178"/>
      <c r="AD174" s="179"/>
      <c r="AE174" s="179"/>
    </row>
    <row r="175" spans="1:31" s="176" customFormat="1" ht="18.75" hidden="1" customHeight="1" x14ac:dyDescent="0.25">
      <c r="A175" s="180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8"/>
      <c r="AC175" s="178"/>
      <c r="AD175" s="179"/>
      <c r="AE175" s="179"/>
    </row>
    <row r="176" spans="1:31" s="176" customFormat="1" ht="18.75" hidden="1" customHeight="1" x14ac:dyDescent="0.25">
      <c r="A176" s="180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8"/>
      <c r="AC176" s="178"/>
      <c r="AD176" s="179"/>
      <c r="AE176" s="179"/>
    </row>
    <row r="177" spans="1:31" s="176" customFormat="1" ht="18.75" hidden="1" customHeight="1" x14ac:dyDescent="0.25">
      <c r="A177" s="180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8"/>
      <c r="AC177" s="178"/>
      <c r="AD177" s="179"/>
      <c r="AE177" s="179"/>
    </row>
    <row r="178" spans="1:31" s="176" customFormat="1" ht="18.75" hidden="1" customHeight="1" x14ac:dyDescent="0.25">
      <c r="A178" s="180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8"/>
      <c r="AC178" s="178"/>
      <c r="AD178" s="179"/>
      <c r="AE178" s="179"/>
    </row>
    <row r="179" spans="1:31" s="176" customFormat="1" ht="18.75" hidden="1" customHeight="1" x14ac:dyDescent="0.25">
      <c r="A179" s="180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8"/>
      <c r="AC179" s="178"/>
      <c r="AD179" s="179"/>
      <c r="AE179" s="179"/>
    </row>
    <row r="180" spans="1:31" s="176" customFormat="1" ht="18.75" hidden="1" customHeight="1" x14ac:dyDescent="0.25">
      <c r="A180" s="180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8"/>
      <c r="AC180" s="178"/>
      <c r="AD180" s="179"/>
      <c r="AE180" s="179"/>
    </row>
    <row r="181" spans="1:31" s="176" customFormat="1" ht="18.75" hidden="1" customHeight="1" x14ac:dyDescent="0.25">
      <c r="A181" s="180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8"/>
      <c r="AC181" s="178"/>
      <c r="AD181" s="179"/>
      <c r="AE181" s="179"/>
    </row>
    <row r="182" spans="1:31" s="176" customFormat="1" ht="18.75" hidden="1" customHeight="1" x14ac:dyDescent="0.25">
      <c r="A182" s="180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8"/>
      <c r="AC182" s="178"/>
      <c r="AD182" s="179"/>
      <c r="AE182" s="179"/>
    </row>
    <row r="183" spans="1:31" s="176" customFormat="1" ht="18.75" hidden="1" customHeight="1" x14ac:dyDescent="0.25">
      <c r="A183" s="180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8"/>
      <c r="AC183" s="178"/>
      <c r="AD183" s="179"/>
      <c r="AE183" s="179"/>
    </row>
    <row r="184" spans="1:31" s="176" customFormat="1" ht="18.75" hidden="1" customHeight="1" x14ac:dyDescent="0.25">
      <c r="A184" s="180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7"/>
      <c r="AB184" s="178"/>
      <c r="AC184" s="178"/>
      <c r="AD184" s="179"/>
      <c r="AE184" s="179"/>
    </row>
    <row r="185" spans="1:31" s="176" customFormat="1" ht="18.75" hidden="1" customHeight="1" x14ac:dyDescent="0.25">
      <c r="A185" s="180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8"/>
      <c r="AC185" s="178"/>
      <c r="AD185" s="179"/>
      <c r="AE185" s="179"/>
    </row>
    <row r="186" spans="1:31" s="176" customFormat="1" ht="18.75" hidden="1" customHeight="1" x14ac:dyDescent="0.25">
      <c r="A186" s="180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8"/>
      <c r="AC186" s="178"/>
      <c r="AD186" s="179"/>
      <c r="AE186" s="179"/>
    </row>
    <row r="187" spans="1:31" s="176" customFormat="1" ht="18.75" hidden="1" customHeight="1" x14ac:dyDescent="0.25">
      <c r="A187" s="180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8"/>
      <c r="AC187" s="178"/>
      <c r="AD187" s="179"/>
      <c r="AE187" s="179"/>
    </row>
    <row r="188" spans="1:31" s="176" customFormat="1" ht="18.75" hidden="1" customHeight="1" x14ac:dyDescent="0.25">
      <c r="A188" s="180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8"/>
      <c r="AC188" s="178"/>
      <c r="AD188" s="179"/>
      <c r="AE188" s="179"/>
    </row>
    <row r="189" spans="1:31" s="176" customFormat="1" ht="18.75" hidden="1" customHeight="1" x14ac:dyDescent="0.25">
      <c r="A189" s="180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8"/>
      <c r="AC189" s="178"/>
      <c r="AD189" s="179"/>
      <c r="AE189" s="179"/>
    </row>
    <row r="190" spans="1:31" s="176" customFormat="1" ht="18.75" hidden="1" customHeight="1" x14ac:dyDescent="0.25">
      <c r="A190" s="180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8"/>
      <c r="AC190" s="178"/>
      <c r="AD190" s="179"/>
      <c r="AE190" s="179"/>
    </row>
    <row r="191" spans="1:31" s="176" customFormat="1" ht="18.75" hidden="1" customHeight="1" x14ac:dyDescent="0.25">
      <c r="A191" s="180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8"/>
      <c r="AC191" s="178"/>
      <c r="AD191" s="179"/>
      <c r="AE191" s="179"/>
    </row>
    <row r="192" spans="1:31" s="176" customFormat="1" ht="18.75" hidden="1" customHeight="1" x14ac:dyDescent="0.25">
      <c r="A192" s="180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8"/>
      <c r="AC192" s="178"/>
      <c r="AD192" s="179"/>
      <c r="AE192" s="179"/>
    </row>
    <row r="193" spans="1:31" s="176" customFormat="1" ht="18.75" hidden="1" customHeight="1" x14ac:dyDescent="0.25">
      <c r="A193" s="180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8"/>
      <c r="AC193" s="178"/>
      <c r="AD193" s="179"/>
      <c r="AE193" s="179"/>
    </row>
    <row r="194" spans="1:31" s="176" customFormat="1" ht="18.75" hidden="1" customHeight="1" x14ac:dyDescent="0.25">
      <c r="A194" s="180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8"/>
      <c r="AC194" s="178"/>
      <c r="AD194" s="179"/>
      <c r="AE194" s="179"/>
    </row>
    <row r="195" spans="1:31" s="176" customFormat="1" ht="18.75" hidden="1" customHeight="1" x14ac:dyDescent="0.25">
      <c r="A195" s="180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  <c r="AA195" s="177"/>
      <c r="AB195" s="178"/>
      <c r="AC195" s="178"/>
      <c r="AD195" s="179"/>
      <c r="AE195" s="179"/>
    </row>
    <row r="196" spans="1:31" s="176" customFormat="1" ht="18.75" hidden="1" customHeight="1" x14ac:dyDescent="0.25">
      <c r="A196" s="180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8"/>
      <c r="AC196" s="178"/>
      <c r="AD196" s="179"/>
      <c r="AE196" s="179"/>
    </row>
    <row r="197" spans="1:31" s="176" customFormat="1" ht="18.75" hidden="1" customHeight="1" x14ac:dyDescent="0.25">
      <c r="A197" s="180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8"/>
      <c r="AC197" s="178"/>
      <c r="AD197" s="179"/>
      <c r="AE197" s="179"/>
    </row>
    <row r="198" spans="1:31" s="176" customFormat="1" ht="18.75" hidden="1" customHeight="1" x14ac:dyDescent="0.25">
      <c r="A198" s="180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8"/>
      <c r="AC198" s="178"/>
      <c r="AD198" s="179"/>
      <c r="AE198" s="179"/>
    </row>
    <row r="199" spans="1:31" s="176" customFormat="1" ht="18.75" hidden="1" customHeight="1" x14ac:dyDescent="0.25">
      <c r="A199" s="180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8"/>
      <c r="AC199" s="178"/>
      <c r="AD199" s="179"/>
      <c r="AE199" s="179"/>
    </row>
    <row r="200" spans="1:31" s="176" customFormat="1" ht="18.75" hidden="1" customHeight="1" x14ac:dyDescent="0.25">
      <c r="A200" s="180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8"/>
      <c r="AC200" s="178"/>
      <c r="AD200" s="179"/>
      <c r="AE200" s="179"/>
    </row>
    <row r="201" spans="1:31" s="176" customFormat="1" ht="18.75" hidden="1" customHeight="1" x14ac:dyDescent="0.25">
      <c r="A201" s="180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8"/>
      <c r="AC201" s="178"/>
      <c r="AD201" s="179"/>
      <c r="AE201" s="179"/>
    </row>
    <row r="202" spans="1:31" s="176" customFormat="1" ht="18.75" hidden="1" customHeight="1" x14ac:dyDescent="0.25">
      <c r="A202" s="180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  <c r="AA202" s="177"/>
      <c r="AB202" s="178"/>
      <c r="AC202" s="178"/>
      <c r="AD202" s="178"/>
      <c r="AE202" s="178"/>
    </row>
  </sheetData>
  <sheetProtection algorithmName="SHA-512" hashValue="vE2g6SvYUOQ387wscw0IUqVZDEw5aaQEuUZ4hxqyX7SJ8X+jMp6O6hybvefTKWwIhmF4XO41ENkT4Yo1YtPPMw==" saltValue="IZuCdwq8J2KLodf2yLWzWQ==" spinCount="100000" sheet="1" objects="1" scenarios="1"/>
  <mergeCells count="3">
    <mergeCell ref="B2:O2"/>
    <mergeCell ref="AD2:AE2"/>
    <mergeCell ref="V29:W29"/>
  </mergeCells>
  <phoneticPr fontId="14" type="noConversion"/>
  <conditionalFormatting sqref="D49">
    <cfRule type="containsText" dxfId="0" priority="1" stopIfTrue="1" operator="containsText" text="within">
      <formula>NOT(ISERROR(SEARCH("within",D49)))</formula>
    </cfRule>
  </conditionalFormatting>
  <dataValidations count="5">
    <dataValidation type="decimal" allowBlank="1" showErrorMessage="1" errorTitle="Flow Error" error="Flow must be greater than 0 and less than 100,000 lb/h (45,360 kg/h)." sqref="D10">
      <formula1>0</formula1>
      <formula2>100000</formula2>
    </dataValidation>
    <dataValidation type="decimal" operator="lessThan" allowBlank="1" showErrorMessage="1" errorTitle="Pressure Error" error="The Flash Tank Pressure must be lesser than the Process Pressure." sqref="D7">
      <formula1>D6</formula1>
    </dataValidation>
    <dataValidation type="decimal" operator="greaterThanOrEqual" allowBlank="1" showInputMessage="1" showErrorMessage="1" errorTitle="Time Error" error="Ensure the residence time is within the allowable range." prompt="Minimum: _x000a_1 minute" sqref="D20">
      <formula1>1</formula1>
    </dataValidation>
    <dataValidation type="decimal" operator="greaterThanOrEqual" allowBlank="1" showInputMessage="1" showErrorMessage="1" errorTitle="Factor Error" error="Factor should not be less than 1." prompt="Factor to accommodate for steam system malfunction._x000a_Minimum sizing factor of 1. " sqref="D23">
      <formula1>1</formula1>
    </dataValidation>
    <dataValidation type="decimal" operator="greaterThanOrEqual" allowBlank="1" showInputMessage="1" showErrorMessage="1" errorTitle="Flow Error" error="Flow must be greater than 0 and less than 100,000 lb/h (45,360 kg/h)." prompt="Minimum 6 inches." sqref="D27">
      <formula1>6</formula1>
    </dataValidation>
  </dataValidations>
  <pageMargins left="0.5" right="0.5" top="0.5" bottom="0.5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0" r:id="rId4" name="Drop Down 5510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6350</xdr:rowOff>
                  </from>
                  <to>
                    <xdr:col>3</xdr:col>
                    <xdr:colOff>565150</xdr:colOff>
                    <xdr:row>40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5" r:id="rId5" name="Drop Down 5895">
              <controlPr defaultSize="0" autoLine="0" autoPict="0">
                <anchor moveWithCells="1">
                  <from>
                    <xdr:col>3</xdr:col>
                    <xdr:colOff>0</xdr:colOff>
                    <xdr:row>41</xdr:row>
                    <xdr:rowOff>6350</xdr:rowOff>
                  </from>
                  <to>
                    <xdr:col>3</xdr:col>
                    <xdr:colOff>565150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Group Box 5">
              <controlPr defaultSize="0" autoFill="0" autoPict="0" altText="1">
                <anchor moveWithCells="1" sizeWithCells="1">
                  <from>
                    <xdr:col>12</xdr:col>
                    <xdr:colOff>88900</xdr:colOff>
                    <xdr:row>1</xdr:row>
                    <xdr:rowOff>50800</xdr:rowOff>
                  </from>
                  <to>
                    <xdr:col>14</xdr:col>
                    <xdr:colOff>203200</xdr:colOff>
                    <xdr:row>1</xdr:row>
                    <xdr:rowOff>660400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Option Button 9">
              <controlPr defaultSize="0" autoFill="0" autoLine="0" autoPict="0" macro="[0]!Units_to_ENG">
                <anchor moveWithCells="1" sizeWithCells="1">
                  <from>
                    <xdr:col>12</xdr:col>
                    <xdr:colOff>215900</xdr:colOff>
                    <xdr:row>1</xdr:row>
                    <xdr:rowOff>228600</xdr:rowOff>
                  </from>
                  <to>
                    <xdr:col>13</xdr:col>
                    <xdr:colOff>482600</xdr:colOff>
                    <xdr:row>1</xdr:row>
                    <xdr:rowOff>469900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Option Button 10">
              <controlPr defaultSize="0" autoFill="0" autoLine="0" autoPict="0" macro="[0]!Units_to_SI">
                <anchor moveWithCells="1" sizeWithCells="1">
                  <from>
                    <xdr:col>12</xdr:col>
                    <xdr:colOff>215900</xdr:colOff>
                    <xdr:row>1</xdr:row>
                    <xdr:rowOff>412750</xdr:rowOff>
                  </from>
                  <to>
                    <xdr:col>13</xdr:col>
                    <xdr:colOff>495300</xdr:colOff>
                    <xdr:row>1</xdr:row>
                    <xdr:rowOff>647700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"/>
  <sheetViews>
    <sheetView workbookViewId="0">
      <selection activeCell="D1" sqref="D1"/>
    </sheetView>
  </sheetViews>
  <sheetFormatPr defaultColWidth="0" defaultRowHeight="12.5" x14ac:dyDescent="0.25"/>
  <cols>
    <col min="1" max="8" width="9.08984375" style="101" customWidth="1"/>
    <col min="9" max="9" width="35.453125" style="101" customWidth="1"/>
    <col min="10" max="16384" width="9.08984375" style="101" hidden="1"/>
  </cols>
  <sheetData>
    <row r="1" spans="1:1" s="100" customFormat="1" ht="13" x14ac:dyDescent="0.3">
      <c r="A1" s="99" t="s">
        <v>311</v>
      </c>
    </row>
    <row r="2" spans="1:1" s="100" customFormat="1" ht="13.25" x14ac:dyDescent="0.25"/>
    <row r="3" spans="1:1" s="100" customFormat="1" ht="13.25" x14ac:dyDescent="0.25">
      <c r="A3" s="100" t="s">
        <v>312</v>
      </c>
    </row>
  </sheetData>
  <phoneticPr fontId="3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U36"/>
  <sheetViews>
    <sheetView zoomScaleNormal="100" workbookViewId="0">
      <pane xSplit="2" ySplit="3" topLeftCell="C32" activePane="bottomRight" state="frozen"/>
      <selection pane="topRight" activeCell="C1" sqref="C1"/>
      <selection pane="bottomLeft" activeCell="A4" sqref="A4"/>
      <selection pane="bottomRight" activeCell="F9" sqref="F9"/>
    </sheetView>
  </sheetViews>
  <sheetFormatPr defaultColWidth="0" defaultRowHeight="0" customHeight="1" zeroHeight="1" x14ac:dyDescent="0.25"/>
  <cols>
    <col min="1" max="1" width="5" style="84" customWidth="1"/>
    <col min="2" max="2" width="13" style="69" customWidth="1"/>
    <col min="3" max="20" width="9.08984375" style="70" customWidth="1"/>
    <col min="21" max="21" width="7.453125" style="70" customWidth="1"/>
    <col min="22" max="22" width="9.08984375" style="70" hidden="1" customWidth="1"/>
    <col min="23" max="26" width="9.08984375" style="94" hidden="1" customWidth="1"/>
    <col min="27" max="46" width="9.08984375" style="70" hidden="1" customWidth="1"/>
    <col min="47" max="47" width="8.453125" style="70" hidden="1" customWidth="1"/>
    <col min="48" max="255" width="9.08984375" style="70" hidden="1" customWidth="1"/>
    <col min="256" max="16384" width="6" style="70" hidden="1"/>
  </cols>
  <sheetData>
    <row r="1" spans="1:52" s="88" customFormat="1" ht="15.75" customHeight="1" x14ac:dyDescent="0.25">
      <c r="A1" s="85"/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AB1" s="87">
        <v>1</v>
      </c>
      <c r="AC1" s="87">
        <v>2</v>
      </c>
      <c r="AD1" s="87">
        <v>3</v>
      </c>
      <c r="AE1" s="87">
        <v>4</v>
      </c>
      <c r="AF1" s="87">
        <v>5</v>
      </c>
      <c r="AG1" s="87">
        <v>6</v>
      </c>
      <c r="AH1" s="87">
        <v>7</v>
      </c>
      <c r="AI1" s="87">
        <v>8</v>
      </c>
      <c r="AJ1" s="87">
        <v>9</v>
      </c>
      <c r="AK1" s="87">
        <v>10</v>
      </c>
      <c r="AL1" s="87">
        <v>11</v>
      </c>
      <c r="AM1" s="87">
        <v>12</v>
      </c>
      <c r="AN1" s="87">
        <v>13</v>
      </c>
      <c r="AO1" s="87">
        <v>14</v>
      </c>
      <c r="AP1" s="87">
        <v>15</v>
      </c>
      <c r="AQ1" s="87">
        <v>16</v>
      </c>
      <c r="AR1" s="87">
        <v>17</v>
      </c>
    </row>
    <row r="2" spans="1:52" s="77" customFormat="1" ht="18.75" customHeight="1" x14ac:dyDescent="0.25">
      <c r="A2" s="82"/>
      <c r="B2" s="78" t="s">
        <v>285</v>
      </c>
      <c r="C2" s="79" t="s">
        <v>284</v>
      </c>
      <c r="D2" s="191" t="s">
        <v>292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3"/>
      <c r="AA2" s="78" t="s">
        <v>285</v>
      </c>
      <c r="AB2" s="191" t="s">
        <v>292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3"/>
      <c r="AU2" s="91" t="s">
        <v>299</v>
      </c>
      <c r="AV2" s="90">
        <f>Main!T41</f>
        <v>10</v>
      </c>
      <c r="AW2" s="90"/>
      <c r="AX2" s="90"/>
    </row>
    <row r="3" spans="1:52" s="71" customFormat="1" ht="18" customHeight="1" x14ac:dyDescent="0.25">
      <c r="A3" s="83"/>
      <c r="B3" s="80" t="s">
        <v>293</v>
      </c>
      <c r="C3" s="81" t="s">
        <v>293</v>
      </c>
      <c r="D3" s="72" t="s">
        <v>300</v>
      </c>
      <c r="E3" s="72" t="s">
        <v>286</v>
      </c>
      <c r="F3" s="72">
        <v>10</v>
      </c>
      <c r="G3" s="72">
        <v>20</v>
      </c>
      <c r="H3" s="72">
        <v>30</v>
      </c>
      <c r="I3" s="72" t="s">
        <v>289</v>
      </c>
      <c r="J3" s="72" t="s">
        <v>288</v>
      </c>
      <c r="K3" s="72">
        <v>40</v>
      </c>
      <c r="L3" s="72">
        <v>60</v>
      </c>
      <c r="M3" s="72" t="s">
        <v>290</v>
      </c>
      <c r="N3" s="72" t="s">
        <v>291</v>
      </c>
      <c r="O3" s="72">
        <v>80</v>
      </c>
      <c r="P3" s="72">
        <v>100</v>
      </c>
      <c r="Q3" s="72">
        <v>120</v>
      </c>
      <c r="R3" s="72">
        <v>140</v>
      </c>
      <c r="S3" s="72">
        <v>160</v>
      </c>
      <c r="T3" s="74" t="s">
        <v>287</v>
      </c>
      <c r="AA3" s="80" t="s">
        <v>293</v>
      </c>
      <c r="AB3" s="72" t="s">
        <v>300</v>
      </c>
      <c r="AC3" s="72" t="s">
        <v>286</v>
      </c>
      <c r="AD3" s="72">
        <v>10</v>
      </c>
      <c r="AE3" s="72">
        <v>20</v>
      </c>
      <c r="AF3" s="72">
        <v>30</v>
      </c>
      <c r="AG3" s="72" t="s">
        <v>289</v>
      </c>
      <c r="AH3" s="72" t="s">
        <v>288</v>
      </c>
      <c r="AI3" s="72">
        <v>40</v>
      </c>
      <c r="AJ3" s="72">
        <v>60</v>
      </c>
      <c r="AK3" s="72" t="s">
        <v>290</v>
      </c>
      <c r="AL3" s="72" t="s">
        <v>291</v>
      </c>
      <c r="AM3" s="72">
        <v>80</v>
      </c>
      <c r="AN3" s="72">
        <v>100</v>
      </c>
      <c r="AO3" s="72">
        <v>120</v>
      </c>
      <c r="AP3" s="72">
        <v>140</v>
      </c>
      <c r="AQ3" s="72">
        <v>160</v>
      </c>
      <c r="AR3" s="74" t="s">
        <v>287</v>
      </c>
      <c r="AU3" s="194" t="s">
        <v>298</v>
      </c>
      <c r="AV3" s="194"/>
      <c r="AW3" s="194"/>
      <c r="AX3" s="194"/>
    </row>
    <row r="4" spans="1:52" ht="18" customHeight="1" x14ac:dyDescent="0.25">
      <c r="B4" s="75">
        <v>0.125</v>
      </c>
      <c r="C4" s="73">
        <v>0.40500000000000003</v>
      </c>
      <c r="D4" s="73">
        <v>3.5000000000000003E-2</v>
      </c>
      <c r="E4" s="73">
        <v>4.9000000000000002E-2</v>
      </c>
      <c r="F4" s="73">
        <v>4.9000000000000002E-2</v>
      </c>
      <c r="G4" s="73"/>
      <c r="H4" s="73"/>
      <c r="I4" s="73">
        <v>6.8000000000000005E-2</v>
      </c>
      <c r="J4" s="73">
        <v>6.8000000000000005E-2</v>
      </c>
      <c r="K4" s="73">
        <v>6.8000000000000005E-2</v>
      </c>
      <c r="L4" s="73"/>
      <c r="M4" s="73">
        <v>9.5000000000000001E-2</v>
      </c>
      <c r="N4" s="73">
        <v>9.5000000000000001E-2</v>
      </c>
      <c r="O4" s="73">
        <v>9.5000000000000001E-2</v>
      </c>
      <c r="P4" s="73"/>
      <c r="Q4" s="73"/>
      <c r="R4" s="73"/>
      <c r="S4" s="73"/>
      <c r="T4" s="76"/>
      <c r="U4" s="70" t="s">
        <v>283</v>
      </c>
      <c r="AA4" s="75">
        <v>0.125</v>
      </c>
      <c r="AB4" s="73" t="str">
        <f t="shared" ref="AB4:AB35" si="0">IF(D4&gt;0,AB$3,"")</f>
        <v>5S</v>
      </c>
      <c r="AC4" s="73" t="str">
        <f t="shared" ref="AC4:AC35" si="1">IF(E4&gt;0,AC$3,"")</f>
        <v>10S</v>
      </c>
      <c r="AD4" s="73">
        <f t="shared" ref="AD4:AD35" si="2">IF(F4&gt;0,AD$3,"")</f>
        <v>10</v>
      </c>
      <c r="AE4" s="73" t="str">
        <f t="shared" ref="AE4:AE35" si="3">IF(G4&gt;0,AE$3,"")</f>
        <v/>
      </c>
      <c r="AF4" s="73" t="str">
        <f t="shared" ref="AF4:AF35" si="4">IF(H4&gt;0,AF$3,"")</f>
        <v/>
      </c>
      <c r="AG4" s="73" t="str">
        <f t="shared" ref="AG4:AG35" si="5">IF(I4&gt;0,AG$3,"")</f>
        <v>40S</v>
      </c>
      <c r="AH4" s="73" t="str">
        <f t="shared" ref="AH4:AH35" si="6">IF(J4&gt;0,AH$3,"")</f>
        <v>STD</v>
      </c>
      <c r="AI4" s="73">
        <f t="shared" ref="AI4:AI35" si="7">IF(K4&gt;0,AI$3,"")</f>
        <v>40</v>
      </c>
      <c r="AJ4" s="73" t="str">
        <f t="shared" ref="AJ4:AJ35" si="8">IF(L4&gt;0,AJ$3,"")</f>
        <v/>
      </c>
      <c r="AK4" s="73" t="str">
        <f t="shared" ref="AK4:AK35" si="9">IF(M4&gt;0,AK$3,"")</f>
        <v>80S</v>
      </c>
      <c r="AL4" s="73" t="str">
        <f t="shared" ref="AL4:AL35" si="10">IF(N4&gt;0,AL$3,"")</f>
        <v>XS</v>
      </c>
      <c r="AM4" s="73">
        <f t="shared" ref="AM4:AM35" si="11">IF(O4&gt;0,AM$3,"")</f>
        <v>80</v>
      </c>
      <c r="AN4" s="73" t="str">
        <f t="shared" ref="AN4:AN35" si="12">IF(P4&gt;0,AN$3,"")</f>
        <v/>
      </c>
      <c r="AO4" s="73" t="str">
        <f t="shared" ref="AO4:AO35" si="13">IF(Q4&gt;0,AO$3,"")</f>
        <v/>
      </c>
      <c r="AP4" s="73" t="str">
        <f t="shared" ref="AP4:AP35" si="14">IF(R4&gt;0,AP$3,"")</f>
        <v/>
      </c>
      <c r="AQ4" s="73" t="str">
        <f t="shared" ref="AQ4:AQ35" si="15">IF(S4&gt;0,AQ$3,"")</f>
        <v/>
      </c>
      <c r="AR4" s="76" t="str">
        <f t="shared" ref="AR4:AR35" si="16">IF(T4&gt;0,AR$3,"")</f>
        <v/>
      </c>
      <c r="AU4" s="93">
        <v>1</v>
      </c>
      <c r="AV4" s="88" t="str">
        <f t="shared" ref="AV4:AV20" si="17">VLOOKUP($AV$2,$AA$4:$AR$35,AU4+1,FALSE)</f>
        <v>5S</v>
      </c>
      <c r="AW4" s="88">
        <f>IF(AV4="",0,1)</f>
        <v>1</v>
      </c>
      <c r="AX4" s="88" t="str">
        <f t="shared" ref="AX4:AX20" si="18">INDEX($AV$4:$AV$20,MATCH(AU4,$AW$4:$AW$20,0),1)</f>
        <v>5S</v>
      </c>
    </row>
    <row r="5" spans="1:52" ht="18" customHeight="1" x14ac:dyDescent="0.25">
      <c r="B5" s="75">
        <v>0.25</v>
      </c>
      <c r="C5" s="73">
        <v>0.54</v>
      </c>
      <c r="D5" s="73">
        <v>4.9000000000000002E-2</v>
      </c>
      <c r="E5" s="73">
        <v>6.5000000000000002E-2</v>
      </c>
      <c r="F5" s="73">
        <v>6.5000000000000002E-2</v>
      </c>
      <c r="G5" s="73"/>
      <c r="H5" s="73"/>
      <c r="I5" s="73">
        <v>8.7999999999999995E-2</v>
      </c>
      <c r="J5" s="73">
        <v>8.7999999999999995E-2</v>
      </c>
      <c r="K5" s="73">
        <v>8.7999999999999995E-2</v>
      </c>
      <c r="L5" s="73"/>
      <c r="M5" s="73">
        <v>0.11899999999999999</v>
      </c>
      <c r="N5" s="73">
        <v>0.11899999999999999</v>
      </c>
      <c r="O5" s="73">
        <v>0.11899999999999999</v>
      </c>
      <c r="P5" s="73"/>
      <c r="Q5" s="73"/>
      <c r="R5" s="73"/>
      <c r="S5" s="73"/>
      <c r="T5" s="76"/>
      <c r="AA5" s="75">
        <v>0.25</v>
      </c>
      <c r="AB5" s="73" t="str">
        <f t="shared" si="0"/>
        <v>5S</v>
      </c>
      <c r="AC5" s="73" t="str">
        <f t="shared" si="1"/>
        <v>10S</v>
      </c>
      <c r="AD5" s="73">
        <f t="shared" si="2"/>
        <v>10</v>
      </c>
      <c r="AE5" s="73" t="str">
        <f t="shared" si="3"/>
        <v/>
      </c>
      <c r="AF5" s="73" t="str">
        <f t="shared" si="4"/>
        <v/>
      </c>
      <c r="AG5" s="73" t="str">
        <f t="shared" si="5"/>
        <v>40S</v>
      </c>
      <c r="AH5" s="73" t="str">
        <f t="shared" si="6"/>
        <v>STD</v>
      </c>
      <c r="AI5" s="73">
        <f t="shared" si="7"/>
        <v>40</v>
      </c>
      <c r="AJ5" s="73" t="str">
        <f t="shared" si="8"/>
        <v/>
      </c>
      <c r="AK5" s="73" t="str">
        <f t="shared" si="9"/>
        <v>80S</v>
      </c>
      <c r="AL5" s="73" t="str">
        <f t="shared" si="10"/>
        <v>XS</v>
      </c>
      <c r="AM5" s="73">
        <f t="shared" si="11"/>
        <v>80</v>
      </c>
      <c r="AN5" s="73" t="str">
        <f t="shared" si="12"/>
        <v/>
      </c>
      <c r="AO5" s="73" t="str">
        <f t="shared" si="13"/>
        <v/>
      </c>
      <c r="AP5" s="73" t="str">
        <f t="shared" si="14"/>
        <v/>
      </c>
      <c r="AQ5" s="73" t="str">
        <f t="shared" si="15"/>
        <v/>
      </c>
      <c r="AR5" s="76" t="str">
        <f t="shared" si="16"/>
        <v/>
      </c>
      <c r="AU5" s="93">
        <v>2</v>
      </c>
      <c r="AV5" s="88" t="str">
        <f t="shared" si="17"/>
        <v>10S</v>
      </c>
      <c r="AW5" s="88">
        <f>IF(AV5="",AW4,AW4+1)</f>
        <v>2</v>
      </c>
      <c r="AX5" s="88" t="str">
        <f t="shared" si="18"/>
        <v>10S</v>
      </c>
    </row>
    <row r="6" spans="1:52" ht="18" customHeight="1" x14ac:dyDescent="0.25">
      <c r="B6" s="75">
        <v>0.375</v>
      </c>
      <c r="C6" s="73">
        <v>0.67500000000000004</v>
      </c>
      <c r="D6" s="73">
        <v>4.9000000000000002E-2</v>
      </c>
      <c r="E6" s="73">
        <v>6.5000000000000002E-2</v>
      </c>
      <c r="F6" s="73">
        <v>6.5000000000000002E-2</v>
      </c>
      <c r="G6" s="73"/>
      <c r="H6" s="73"/>
      <c r="I6" s="73">
        <v>9.0999999999999998E-2</v>
      </c>
      <c r="J6" s="73">
        <v>9.0999999999999998E-2</v>
      </c>
      <c r="K6" s="73">
        <v>9.0999999999999998E-2</v>
      </c>
      <c r="L6" s="73"/>
      <c r="M6" s="73">
        <v>0.126</v>
      </c>
      <c r="N6" s="73">
        <v>0.126</v>
      </c>
      <c r="O6" s="73">
        <v>0.126</v>
      </c>
      <c r="P6" s="73"/>
      <c r="Q6" s="73"/>
      <c r="R6" s="73"/>
      <c r="S6" s="73"/>
      <c r="T6" s="76"/>
      <c r="U6" s="70" t="s">
        <v>283</v>
      </c>
      <c r="V6" s="92"/>
      <c r="AA6" s="75">
        <v>0.375</v>
      </c>
      <c r="AB6" s="73" t="str">
        <f t="shared" si="0"/>
        <v>5S</v>
      </c>
      <c r="AC6" s="73" t="str">
        <f t="shared" si="1"/>
        <v>10S</v>
      </c>
      <c r="AD6" s="73">
        <f t="shared" si="2"/>
        <v>10</v>
      </c>
      <c r="AE6" s="73" t="str">
        <f t="shared" si="3"/>
        <v/>
      </c>
      <c r="AF6" s="73" t="str">
        <f t="shared" si="4"/>
        <v/>
      </c>
      <c r="AG6" s="73" t="str">
        <f t="shared" si="5"/>
        <v>40S</v>
      </c>
      <c r="AH6" s="73" t="str">
        <f t="shared" si="6"/>
        <v>STD</v>
      </c>
      <c r="AI6" s="73">
        <f t="shared" si="7"/>
        <v>40</v>
      </c>
      <c r="AJ6" s="73" t="str">
        <f t="shared" si="8"/>
        <v/>
      </c>
      <c r="AK6" s="73" t="str">
        <f t="shared" si="9"/>
        <v>80S</v>
      </c>
      <c r="AL6" s="73" t="str">
        <f t="shared" si="10"/>
        <v>XS</v>
      </c>
      <c r="AM6" s="73">
        <f t="shared" si="11"/>
        <v>80</v>
      </c>
      <c r="AN6" s="73" t="str">
        <f t="shared" si="12"/>
        <v/>
      </c>
      <c r="AO6" s="73" t="str">
        <f t="shared" si="13"/>
        <v/>
      </c>
      <c r="AP6" s="73" t="str">
        <f t="shared" si="14"/>
        <v/>
      </c>
      <c r="AQ6" s="73" t="str">
        <f t="shared" si="15"/>
        <v/>
      </c>
      <c r="AR6" s="76" t="str">
        <f t="shared" si="16"/>
        <v/>
      </c>
      <c r="AU6" s="93">
        <v>3</v>
      </c>
      <c r="AV6" s="88">
        <f t="shared" si="17"/>
        <v>10</v>
      </c>
      <c r="AW6" s="88">
        <f t="shared" ref="AW6:AW20" si="19">IF(AV6="",AW5,AW5+1)</f>
        <v>3</v>
      </c>
      <c r="AX6" s="88">
        <f t="shared" si="18"/>
        <v>10</v>
      </c>
    </row>
    <row r="7" spans="1:52" ht="18" customHeight="1" x14ac:dyDescent="0.25">
      <c r="B7" s="75">
        <v>0.5</v>
      </c>
      <c r="C7" s="73">
        <v>0.84</v>
      </c>
      <c r="D7" s="73">
        <v>6.5000000000000002E-2</v>
      </c>
      <c r="E7" s="73">
        <v>8.3000000000000004E-2</v>
      </c>
      <c r="F7" s="73">
        <v>8.3000000000000004E-2</v>
      </c>
      <c r="G7" s="73"/>
      <c r="H7" s="73"/>
      <c r="I7" s="73">
        <v>0.109</v>
      </c>
      <c r="J7" s="73">
        <v>0.109</v>
      </c>
      <c r="K7" s="73">
        <v>0.109</v>
      </c>
      <c r="L7" s="73"/>
      <c r="M7" s="73">
        <v>0.14699999999999999</v>
      </c>
      <c r="N7" s="73">
        <v>0.14699999999999999</v>
      </c>
      <c r="O7" s="73">
        <v>0.14699999999999999</v>
      </c>
      <c r="P7" s="73"/>
      <c r="Q7" s="73"/>
      <c r="R7" s="73"/>
      <c r="S7" s="73">
        <v>0.188</v>
      </c>
      <c r="T7" s="76">
        <v>0.29399999999999998</v>
      </c>
      <c r="U7" s="70" t="s">
        <v>283</v>
      </c>
      <c r="AA7" s="75">
        <v>0.5</v>
      </c>
      <c r="AB7" s="73" t="str">
        <f t="shared" si="0"/>
        <v>5S</v>
      </c>
      <c r="AC7" s="73" t="str">
        <f t="shared" si="1"/>
        <v>10S</v>
      </c>
      <c r="AD7" s="73">
        <f t="shared" si="2"/>
        <v>10</v>
      </c>
      <c r="AE7" s="73" t="str">
        <f t="shared" si="3"/>
        <v/>
      </c>
      <c r="AF7" s="73" t="str">
        <f t="shared" si="4"/>
        <v/>
      </c>
      <c r="AG7" s="73" t="str">
        <f t="shared" si="5"/>
        <v>40S</v>
      </c>
      <c r="AH7" s="73" t="str">
        <f t="shared" si="6"/>
        <v>STD</v>
      </c>
      <c r="AI7" s="73">
        <f t="shared" si="7"/>
        <v>40</v>
      </c>
      <c r="AJ7" s="73" t="str">
        <f t="shared" si="8"/>
        <v/>
      </c>
      <c r="AK7" s="73" t="str">
        <f t="shared" si="9"/>
        <v>80S</v>
      </c>
      <c r="AL7" s="73" t="str">
        <f t="shared" si="10"/>
        <v>XS</v>
      </c>
      <c r="AM7" s="73">
        <f t="shared" si="11"/>
        <v>80</v>
      </c>
      <c r="AN7" s="73" t="str">
        <f t="shared" si="12"/>
        <v/>
      </c>
      <c r="AO7" s="73" t="str">
        <f t="shared" si="13"/>
        <v/>
      </c>
      <c r="AP7" s="73" t="str">
        <f t="shared" si="14"/>
        <v/>
      </c>
      <c r="AQ7" s="73">
        <f t="shared" si="15"/>
        <v>160</v>
      </c>
      <c r="AR7" s="76" t="str">
        <f t="shared" si="16"/>
        <v>XXS</v>
      </c>
      <c r="AU7" s="93">
        <v>4</v>
      </c>
      <c r="AV7" s="88">
        <f t="shared" si="17"/>
        <v>20</v>
      </c>
      <c r="AW7" s="88">
        <f t="shared" si="19"/>
        <v>4</v>
      </c>
      <c r="AX7" s="88">
        <f t="shared" si="18"/>
        <v>20</v>
      </c>
      <c r="AZ7" s="70">
        <f ca="1">OFFSET('Pipe Chart'!$AX$4,,,MAX('Pipe Chart'!$AW$4:$AW$20),1)</f>
        <v>20</v>
      </c>
    </row>
    <row r="8" spans="1:52" ht="18" customHeight="1" x14ac:dyDescent="0.25">
      <c r="B8" s="75">
        <v>0.75</v>
      </c>
      <c r="C8" s="73">
        <v>1.05</v>
      </c>
      <c r="D8" s="73">
        <v>6.5000000000000002E-2</v>
      </c>
      <c r="E8" s="73">
        <v>8.3000000000000004E-2</v>
      </c>
      <c r="F8" s="73">
        <v>8.3000000000000004E-2</v>
      </c>
      <c r="G8" s="73"/>
      <c r="H8" s="73"/>
      <c r="I8" s="73">
        <v>0.113</v>
      </c>
      <c r="J8" s="73">
        <v>0.113</v>
      </c>
      <c r="K8" s="73">
        <v>0.113</v>
      </c>
      <c r="L8" s="73"/>
      <c r="M8" s="73">
        <v>0.154</v>
      </c>
      <c r="N8" s="73">
        <v>0.154</v>
      </c>
      <c r="O8" s="73">
        <v>0.154</v>
      </c>
      <c r="P8" s="73"/>
      <c r="Q8" s="73"/>
      <c r="R8" s="73"/>
      <c r="S8" s="73">
        <v>0.219</v>
      </c>
      <c r="T8" s="76">
        <v>0.308</v>
      </c>
      <c r="U8" s="70" t="s">
        <v>283</v>
      </c>
      <c r="AA8" s="75">
        <v>0.75</v>
      </c>
      <c r="AB8" s="73" t="str">
        <f t="shared" si="0"/>
        <v>5S</v>
      </c>
      <c r="AC8" s="73" t="str">
        <f t="shared" si="1"/>
        <v>10S</v>
      </c>
      <c r="AD8" s="73">
        <f t="shared" si="2"/>
        <v>10</v>
      </c>
      <c r="AE8" s="73" t="str">
        <f t="shared" si="3"/>
        <v/>
      </c>
      <c r="AF8" s="73" t="str">
        <f t="shared" si="4"/>
        <v/>
      </c>
      <c r="AG8" s="73" t="str">
        <f t="shared" si="5"/>
        <v>40S</v>
      </c>
      <c r="AH8" s="73" t="str">
        <f t="shared" si="6"/>
        <v>STD</v>
      </c>
      <c r="AI8" s="73">
        <f t="shared" si="7"/>
        <v>40</v>
      </c>
      <c r="AJ8" s="73" t="str">
        <f t="shared" si="8"/>
        <v/>
      </c>
      <c r="AK8" s="73" t="str">
        <f t="shared" si="9"/>
        <v>80S</v>
      </c>
      <c r="AL8" s="73" t="str">
        <f t="shared" si="10"/>
        <v>XS</v>
      </c>
      <c r="AM8" s="73">
        <f t="shared" si="11"/>
        <v>80</v>
      </c>
      <c r="AN8" s="73" t="str">
        <f t="shared" si="12"/>
        <v/>
      </c>
      <c r="AO8" s="73" t="str">
        <f t="shared" si="13"/>
        <v/>
      </c>
      <c r="AP8" s="73" t="str">
        <f t="shared" si="14"/>
        <v/>
      </c>
      <c r="AQ8" s="73">
        <f t="shared" si="15"/>
        <v>160</v>
      </c>
      <c r="AR8" s="76" t="str">
        <f t="shared" si="16"/>
        <v>XXS</v>
      </c>
      <c r="AU8" s="93">
        <v>5</v>
      </c>
      <c r="AV8" s="88">
        <f t="shared" si="17"/>
        <v>30</v>
      </c>
      <c r="AW8" s="88">
        <f t="shared" si="19"/>
        <v>5</v>
      </c>
      <c r="AX8" s="88">
        <f t="shared" si="18"/>
        <v>30</v>
      </c>
    </row>
    <row r="9" spans="1:52" ht="18" customHeight="1" x14ac:dyDescent="0.25">
      <c r="B9" s="75">
        <v>1</v>
      </c>
      <c r="C9" s="73">
        <v>1.3149999999999999</v>
      </c>
      <c r="D9" s="73">
        <v>6.5000000000000002E-2</v>
      </c>
      <c r="E9" s="73">
        <v>0.109</v>
      </c>
      <c r="F9" s="73">
        <v>0.109</v>
      </c>
      <c r="G9" s="73"/>
      <c r="H9" s="73"/>
      <c r="I9" s="73">
        <v>0.13300000000000001</v>
      </c>
      <c r="J9" s="73">
        <v>0.13300000000000001</v>
      </c>
      <c r="K9" s="73">
        <v>0.13300000000000001</v>
      </c>
      <c r="L9" s="73"/>
      <c r="M9" s="73">
        <v>0.17899999999999999</v>
      </c>
      <c r="N9" s="73">
        <v>0.17899999999999999</v>
      </c>
      <c r="O9" s="73">
        <v>0.17899999999999999</v>
      </c>
      <c r="P9" s="73"/>
      <c r="Q9" s="73"/>
      <c r="R9" s="73"/>
      <c r="S9" s="73">
        <v>0.25</v>
      </c>
      <c r="T9" s="76">
        <v>0.35799999999999998</v>
      </c>
      <c r="U9" s="70" t="s">
        <v>283</v>
      </c>
      <c r="AA9" s="75">
        <v>1</v>
      </c>
      <c r="AB9" s="73" t="str">
        <f t="shared" si="0"/>
        <v>5S</v>
      </c>
      <c r="AC9" s="73" t="str">
        <f t="shared" si="1"/>
        <v>10S</v>
      </c>
      <c r="AD9" s="73">
        <f t="shared" si="2"/>
        <v>10</v>
      </c>
      <c r="AE9" s="73" t="str">
        <f t="shared" si="3"/>
        <v/>
      </c>
      <c r="AF9" s="73" t="str">
        <f t="shared" si="4"/>
        <v/>
      </c>
      <c r="AG9" s="73" t="str">
        <f t="shared" si="5"/>
        <v>40S</v>
      </c>
      <c r="AH9" s="73" t="str">
        <f t="shared" si="6"/>
        <v>STD</v>
      </c>
      <c r="AI9" s="73">
        <f t="shared" si="7"/>
        <v>40</v>
      </c>
      <c r="AJ9" s="73" t="str">
        <f t="shared" si="8"/>
        <v/>
      </c>
      <c r="AK9" s="73" t="str">
        <f t="shared" si="9"/>
        <v>80S</v>
      </c>
      <c r="AL9" s="73" t="str">
        <f t="shared" si="10"/>
        <v>XS</v>
      </c>
      <c r="AM9" s="73">
        <f t="shared" si="11"/>
        <v>80</v>
      </c>
      <c r="AN9" s="73" t="str">
        <f t="shared" si="12"/>
        <v/>
      </c>
      <c r="AO9" s="73" t="str">
        <f t="shared" si="13"/>
        <v/>
      </c>
      <c r="AP9" s="73" t="str">
        <f t="shared" si="14"/>
        <v/>
      </c>
      <c r="AQ9" s="73">
        <f t="shared" si="15"/>
        <v>160</v>
      </c>
      <c r="AR9" s="76" t="str">
        <f t="shared" si="16"/>
        <v>XXS</v>
      </c>
      <c r="AU9" s="93">
        <v>6</v>
      </c>
      <c r="AV9" s="88" t="str">
        <f t="shared" si="17"/>
        <v>40S</v>
      </c>
      <c r="AW9" s="88">
        <f t="shared" si="19"/>
        <v>6</v>
      </c>
      <c r="AX9" s="88" t="str">
        <f t="shared" si="18"/>
        <v>40S</v>
      </c>
    </row>
    <row r="10" spans="1:52" ht="18" customHeight="1" x14ac:dyDescent="0.25">
      <c r="B10" s="75">
        <v>1.25</v>
      </c>
      <c r="C10" s="73">
        <v>1.66</v>
      </c>
      <c r="D10" s="73">
        <v>6.5000000000000002E-2</v>
      </c>
      <c r="E10" s="73">
        <v>0.109</v>
      </c>
      <c r="F10" s="73">
        <v>0.109</v>
      </c>
      <c r="G10" s="73"/>
      <c r="H10" s="73"/>
      <c r="I10" s="73">
        <v>0.14000000000000001</v>
      </c>
      <c r="J10" s="73">
        <v>0.14000000000000001</v>
      </c>
      <c r="K10" s="73">
        <v>0.14000000000000001</v>
      </c>
      <c r="L10" s="73"/>
      <c r="M10" s="73">
        <v>0.191</v>
      </c>
      <c r="N10" s="73">
        <v>0.191</v>
      </c>
      <c r="O10" s="73">
        <v>0.191</v>
      </c>
      <c r="P10" s="73"/>
      <c r="Q10" s="73"/>
      <c r="R10" s="73"/>
      <c r="S10" s="73">
        <v>0.25</v>
      </c>
      <c r="T10" s="76">
        <v>0.38200000000000001</v>
      </c>
      <c r="U10" s="70" t="s">
        <v>283</v>
      </c>
      <c r="AA10" s="75">
        <v>1.25</v>
      </c>
      <c r="AB10" s="73" t="str">
        <f t="shared" si="0"/>
        <v>5S</v>
      </c>
      <c r="AC10" s="73" t="str">
        <f t="shared" si="1"/>
        <v>10S</v>
      </c>
      <c r="AD10" s="73">
        <f t="shared" si="2"/>
        <v>10</v>
      </c>
      <c r="AE10" s="73" t="str">
        <f t="shared" si="3"/>
        <v/>
      </c>
      <c r="AF10" s="73" t="str">
        <f t="shared" si="4"/>
        <v/>
      </c>
      <c r="AG10" s="73" t="str">
        <f t="shared" si="5"/>
        <v>40S</v>
      </c>
      <c r="AH10" s="73" t="str">
        <f t="shared" si="6"/>
        <v>STD</v>
      </c>
      <c r="AI10" s="73">
        <f t="shared" si="7"/>
        <v>40</v>
      </c>
      <c r="AJ10" s="73" t="str">
        <f t="shared" si="8"/>
        <v/>
      </c>
      <c r="AK10" s="73" t="str">
        <f t="shared" si="9"/>
        <v>80S</v>
      </c>
      <c r="AL10" s="73" t="str">
        <f t="shared" si="10"/>
        <v>XS</v>
      </c>
      <c r="AM10" s="73">
        <f t="shared" si="11"/>
        <v>80</v>
      </c>
      <c r="AN10" s="73" t="str">
        <f t="shared" si="12"/>
        <v/>
      </c>
      <c r="AO10" s="73" t="str">
        <f t="shared" si="13"/>
        <v/>
      </c>
      <c r="AP10" s="73" t="str">
        <f t="shared" si="14"/>
        <v/>
      </c>
      <c r="AQ10" s="73">
        <f t="shared" si="15"/>
        <v>160</v>
      </c>
      <c r="AR10" s="76" t="str">
        <f t="shared" si="16"/>
        <v>XXS</v>
      </c>
      <c r="AU10" s="93">
        <v>7</v>
      </c>
      <c r="AV10" s="88" t="str">
        <f t="shared" si="17"/>
        <v>STD</v>
      </c>
      <c r="AW10" s="88">
        <f t="shared" si="19"/>
        <v>7</v>
      </c>
      <c r="AX10" s="88" t="str">
        <f t="shared" si="18"/>
        <v>STD</v>
      </c>
    </row>
    <row r="11" spans="1:52" ht="18" customHeight="1" x14ac:dyDescent="0.25">
      <c r="B11" s="75">
        <v>1.5</v>
      </c>
      <c r="C11" s="73">
        <v>1.9</v>
      </c>
      <c r="D11" s="73">
        <v>6.5000000000000002E-2</v>
      </c>
      <c r="E11" s="73">
        <v>0.109</v>
      </c>
      <c r="F11" s="73">
        <v>0.109</v>
      </c>
      <c r="G11" s="73"/>
      <c r="H11" s="73"/>
      <c r="I11" s="73">
        <v>0.14499999999999999</v>
      </c>
      <c r="J11" s="73">
        <v>0.14499999999999999</v>
      </c>
      <c r="K11" s="73">
        <v>0.14499999999999999</v>
      </c>
      <c r="L11" s="73"/>
      <c r="M11" s="73">
        <v>0.2</v>
      </c>
      <c r="N11" s="73">
        <v>0.2</v>
      </c>
      <c r="O11" s="73">
        <v>0.2</v>
      </c>
      <c r="P11" s="73"/>
      <c r="Q11" s="73"/>
      <c r="R11" s="73"/>
      <c r="S11" s="73">
        <v>0.28100000000000003</v>
      </c>
      <c r="T11" s="76">
        <v>0.4</v>
      </c>
      <c r="U11" s="70" t="s">
        <v>283</v>
      </c>
      <c r="AA11" s="75">
        <v>1.5</v>
      </c>
      <c r="AB11" s="73" t="str">
        <f t="shared" si="0"/>
        <v>5S</v>
      </c>
      <c r="AC11" s="73" t="str">
        <f t="shared" si="1"/>
        <v>10S</v>
      </c>
      <c r="AD11" s="73">
        <f t="shared" si="2"/>
        <v>10</v>
      </c>
      <c r="AE11" s="73" t="str">
        <f t="shared" si="3"/>
        <v/>
      </c>
      <c r="AF11" s="73" t="str">
        <f t="shared" si="4"/>
        <v/>
      </c>
      <c r="AG11" s="73" t="str">
        <f t="shared" si="5"/>
        <v>40S</v>
      </c>
      <c r="AH11" s="73" t="str">
        <f t="shared" si="6"/>
        <v>STD</v>
      </c>
      <c r="AI11" s="73">
        <f t="shared" si="7"/>
        <v>40</v>
      </c>
      <c r="AJ11" s="73" t="str">
        <f t="shared" si="8"/>
        <v/>
      </c>
      <c r="AK11" s="73" t="str">
        <f t="shared" si="9"/>
        <v>80S</v>
      </c>
      <c r="AL11" s="73" t="str">
        <f t="shared" si="10"/>
        <v>XS</v>
      </c>
      <c r="AM11" s="73">
        <f t="shared" si="11"/>
        <v>80</v>
      </c>
      <c r="AN11" s="73" t="str">
        <f t="shared" si="12"/>
        <v/>
      </c>
      <c r="AO11" s="73" t="str">
        <f t="shared" si="13"/>
        <v/>
      </c>
      <c r="AP11" s="73" t="str">
        <f t="shared" si="14"/>
        <v/>
      </c>
      <c r="AQ11" s="73">
        <f t="shared" si="15"/>
        <v>160</v>
      </c>
      <c r="AR11" s="76" t="str">
        <f t="shared" si="16"/>
        <v>XXS</v>
      </c>
      <c r="AU11" s="93">
        <v>8</v>
      </c>
      <c r="AV11" s="88">
        <f t="shared" si="17"/>
        <v>40</v>
      </c>
      <c r="AW11" s="88">
        <f t="shared" si="19"/>
        <v>8</v>
      </c>
      <c r="AX11" s="88">
        <f t="shared" si="18"/>
        <v>40</v>
      </c>
    </row>
    <row r="12" spans="1:52" ht="18" customHeight="1" x14ac:dyDescent="0.25">
      <c r="B12" s="75">
        <v>2</v>
      </c>
      <c r="C12" s="73">
        <v>2.375</v>
      </c>
      <c r="D12" s="73">
        <v>6.5000000000000002E-2</v>
      </c>
      <c r="E12" s="73">
        <v>0.109</v>
      </c>
      <c r="F12" s="73">
        <v>0.109</v>
      </c>
      <c r="G12" s="73"/>
      <c r="H12" s="73"/>
      <c r="I12" s="73">
        <v>0.154</v>
      </c>
      <c r="J12" s="73">
        <v>0.154</v>
      </c>
      <c r="K12" s="73">
        <v>0.154</v>
      </c>
      <c r="L12" s="73"/>
      <c r="M12" s="73">
        <v>0.218</v>
      </c>
      <c r="N12" s="73">
        <v>0.218</v>
      </c>
      <c r="O12" s="73">
        <v>0.218</v>
      </c>
      <c r="P12" s="73"/>
      <c r="Q12" s="73"/>
      <c r="R12" s="73"/>
      <c r="S12" s="73">
        <v>0.34399999999999997</v>
      </c>
      <c r="T12" s="76">
        <v>0.436</v>
      </c>
      <c r="U12" s="70" t="s">
        <v>283</v>
      </c>
      <c r="AA12" s="75">
        <v>2</v>
      </c>
      <c r="AB12" s="73" t="str">
        <f t="shared" si="0"/>
        <v>5S</v>
      </c>
      <c r="AC12" s="73" t="str">
        <f t="shared" si="1"/>
        <v>10S</v>
      </c>
      <c r="AD12" s="73">
        <f t="shared" si="2"/>
        <v>10</v>
      </c>
      <c r="AE12" s="73" t="str">
        <f t="shared" si="3"/>
        <v/>
      </c>
      <c r="AF12" s="73" t="str">
        <f t="shared" si="4"/>
        <v/>
      </c>
      <c r="AG12" s="73" t="str">
        <f t="shared" si="5"/>
        <v>40S</v>
      </c>
      <c r="AH12" s="73" t="str">
        <f t="shared" si="6"/>
        <v>STD</v>
      </c>
      <c r="AI12" s="73">
        <f t="shared" si="7"/>
        <v>40</v>
      </c>
      <c r="AJ12" s="73" t="str">
        <f t="shared" si="8"/>
        <v/>
      </c>
      <c r="AK12" s="73" t="str">
        <f t="shared" si="9"/>
        <v>80S</v>
      </c>
      <c r="AL12" s="73" t="str">
        <f t="shared" si="10"/>
        <v>XS</v>
      </c>
      <c r="AM12" s="73">
        <f t="shared" si="11"/>
        <v>80</v>
      </c>
      <c r="AN12" s="73" t="str">
        <f t="shared" si="12"/>
        <v/>
      </c>
      <c r="AO12" s="73" t="str">
        <f t="shared" si="13"/>
        <v/>
      </c>
      <c r="AP12" s="73" t="str">
        <f t="shared" si="14"/>
        <v/>
      </c>
      <c r="AQ12" s="73">
        <f t="shared" si="15"/>
        <v>160</v>
      </c>
      <c r="AR12" s="76" t="str">
        <f t="shared" si="16"/>
        <v>XXS</v>
      </c>
      <c r="AU12" s="93">
        <v>9</v>
      </c>
      <c r="AV12" s="88">
        <f t="shared" si="17"/>
        <v>60</v>
      </c>
      <c r="AW12" s="88">
        <f t="shared" si="19"/>
        <v>9</v>
      </c>
      <c r="AX12" s="88">
        <f t="shared" si="18"/>
        <v>60</v>
      </c>
    </row>
    <row r="13" spans="1:52" ht="18" customHeight="1" x14ac:dyDescent="0.25">
      <c r="B13" s="75">
        <v>2.5</v>
      </c>
      <c r="C13" s="73">
        <v>2.875</v>
      </c>
      <c r="D13" s="73">
        <v>8.3000000000000004E-2</v>
      </c>
      <c r="E13" s="73">
        <v>0.12</v>
      </c>
      <c r="F13" s="73">
        <v>0.12</v>
      </c>
      <c r="G13" s="73"/>
      <c r="H13" s="73"/>
      <c r="I13" s="73">
        <v>0.20300000000000001</v>
      </c>
      <c r="J13" s="73">
        <v>0.20300000000000001</v>
      </c>
      <c r="K13" s="73">
        <v>0.20300000000000001</v>
      </c>
      <c r="L13" s="73"/>
      <c r="M13" s="73">
        <v>0.27600000000000002</v>
      </c>
      <c r="N13" s="73">
        <v>0.27600000000000002</v>
      </c>
      <c r="O13" s="73">
        <v>0.27600000000000002</v>
      </c>
      <c r="P13" s="73"/>
      <c r="Q13" s="73"/>
      <c r="R13" s="73"/>
      <c r="S13" s="73">
        <v>0.375</v>
      </c>
      <c r="T13" s="76">
        <v>0.55200000000000005</v>
      </c>
      <c r="U13" s="70" t="s">
        <v>283</v>
      </c>
      <c r="AA13" s="75">
        <v>2.5</v>
      </c>
      <c r="AB13" s="73" t="str">
        <f t="shared" si="0"/>
        <v>5S</v>
      </c>
      <c r="AC13" s="73" t="str">
        <f t="shared" si="1"/>
        <v>10S</v>
      </c>
      <c r="AD13" s="73">
        <f t="shared" si="2"/>
        <v>10</v>
      </c>
      <c r="AE13" s="73" t="str">
        <f t="shared" si="3"/>
        <v/>
      </c>
      <c r="AF13" s="73" t="str">
        <f t="shared" si="4"/>
        <v/>
      </c>
      <c r="AG13" s="73" t="str">
        <f t="shared" si="5"/>
        <v>40S</v>
      </c>
      <c r="AH13" s="73" t="str">
        <f t="shared" si="6"/>
        <v>STD</v>
      </c>
      <c r="AI13" s="73">
        <f t="shared" si="7"/>
        <v>40</v>
      </c>
      <c r="AJ13" s="73" t="str">
        <f t="shared" si="8"/>
        <v/>
      </c>
      <c r="AK13" s="73" t="str">
        <f t="shared" si="9"/>
        <v>80S</v>
      </c>
      <c r="AL13" s="73" t="str">
        <f t="shared" si="10"/>
        <v>XS</v>
      </c>
      <c r="AM13" s="73">
        <f t="shared" si="11"/>
        <v>80</v>
      </c>
      <c r="AN13" s="73" t="str">
        <f t="shared" si="12"/>
        <v/>
      </c>
      <c r="AO13" s="73" t="str">
        <f t="shared" si="13"/>
        <v/>
      </c>
      <c r="AP13" s="73" t="str">
        <f t="shared" si="14"/>
        <v/>
      </c>
      <c r="AQ13" s="73">
        <f t="shared" si="15"/>
        <v>160</v>
      </c>
      <c r="AR13" s="76" t="str">
        <f t="shared" si="16"/>
        <v>XXS</v>
      </c>
      <c r="AU13" s="93">
        <v>10</v>
      </c>
      <c r="AV13" s="88" t="str">
        <f t="shared" si="17"/>
        <v>80S</v>
      </c>
      <c r="AW13" s="88">
        <f t="shared" si="19"/>
        <v>10</v>
      </c>
      <c r="AX13" s="88" t="str">
        <f t="shared" si="18"/>
        <v>80S</v>
      </c>
    </row>
    <row r="14" spans="1:52" ht="18" customHeight="1" x14ac:dyDescent="0.25">
      <c r="B14" s="75">
        <v>3</v>
      </c>
      <c r="C14" s="73">
        <v>3.5</v>
      </c>
      <c r="D14" s="73">
        <v>8.3000000000000004E-2</v>
      </c>
      <c r="E14" s="73">
        <v>0.12</v>
      </c>
      <c r="F14" s="73">
        <v>0.12</v>
      </c>
      <c r="G14" s="73"/>
      <c r="H14" s="73"/>
      <c r="I14" s="73">
        <v>0.216</v>
      </c>
      <c r="J14" s="73">
        <v>0.216</v>
      </c>
      <c r="K14" s="73">
        <v>0.216</v>
      </c>
      <c r="L14" s="73"/>
      <c r="M14" s="73">
        <v>0.3</v>
      </c>
      <c r="N14" s="73">
        <v>0.3</v>
      </c>
      <c r="O14" s="73">
        <v>0.3</v>
      </c>
      <c r="P14" s="73"/>
      <c r="Q14" s="73"/>
      <c r="R14" s="73"/>
      <c r="S14" s="73">
        <v>0.438</v>
      </c>
      <c r="T14" s="76">
        <v>0.6</v>
      </c>
      <c r="U14" s="70" t="s">
        <v>283</v>
      </c>
      <c r="AA14" s="75">
        <v>3</v>
      </c>
      <c r="AB14" s="73" t="str">
        <f t="shared" si="0"/>
        <v>5S</v>
      </c>
      <c r="AC14" s="73" t="str">
        <f t="shared" si="1"/>
        <v>10S</v>
      </c>
      <c r="AD14" s="73">
        <f t="shared" si="2"/>
        <v>10</v>
      </c>
      <c r="AE14" s="73" t="str">
        <f t="shared" si="3"/>
        <v/>
      </c>
      <c r="AF14" s="73" t="str">
        <f t="shared" si="4"/>
        <v/>
      </c>
      <c r="AG14" s="73" t="str">
        <f t="shared" si="5"/>
        <v>40S</v>
      </c>
      <c r="AH14" s="73" t="str">
        <f t="shared" si="6"/>
        <v>STD</v>
      </c>
      <c r="AI14" s="73">
        <f t="shared" si="7"/>
        <v>40</v>
      </c>
      <c r="AJ14" s="73" t="str">
        <f t="shared" si="8"/>
        <v/>
      </c>
      <c r="AK14" s="73" t="str">
        <f t="shared" si="9"/>
        <v>80S</v>
      </c>
      <c r="AL14" s="73" t="str">
        <f t="shared" si="10"/>
        <v>XS</v>
      </c>
      <c r="AM14" s="73">
        <f t="shared" si="11"/>
        <v>80</v>
      </c>
      <c r="AN14" s="73" t="str">
        <f t="shared" si="12"/>
        <v/>
      </c>
      <c r="AO14" s="73" t="str">
        <f t="shared" si="13"/>
        <v/>
      </c>
      <c r="AP14" s="73" t="str">
        <f t="shared" si="14"/>
        <v/>
      </c>
      <c r="AQ14" s="73">
        <f t="shared" si="15"/>
        <v>160</v>
      </c>
      <c r="AR14" s="76" t="str">
        <f t="shared" si="16"/>
        <v>XXS</v>
      </c>
      <c r="AU14" s="93">
        <v>11</v>
      </c>
      <c r="AV14" s="88" t="str">
        <f t="shared" si="17"/>
        <v>XS</v>
      </c>
      <c r="AW14" s="88">
        <f t="shared" si="19"/>
        <v>11</v>
      </c>
      <c r="AX14" s="88" t="str">
        <f t="shared" si="18"/>
        <v>XS</v>
      </c>
    </row>
    <row r="15" spans="1:52" ht="18" customHeight="1" x14ac:dyDescent="0.25">
      <c r="B15" s="75">
        <v>3.5</v>
      </c>
      <c r="C15" s="73">
        <v>4</v>
      </c>
      <c r="D15" s="73">
        <v>8.3000000000000004E-2</v>
      </c>
      <c r="E15" s="73">
        <v>0.12</v>
      </c>
      <c r="F15" s="73">
        <v>0.12</v>
      </c>
      <c r="G15" s="73"/>
      <c r="H15" s="73"/>
      <c r="I15" s="73">
        <v>0.22600000000000001</v>
      </c>
      <c r="J15" s="73">
        <v>0.22600000000000001</v>
      </c>
      <c r="K15" s="73">
        <v>0.22600000000000001</v>
      </c>
      <c r="L15" s="73"/>
      <c r="M15" s="73">
        <v>0.318</v>
      </c>
      <c r="N15" s="73">
        <v>0.318</v>
      </c>
      <c r="O15" s="73">
        <v>0.318</v>
      </c>
      <c r="P15" s="73"/>
      <c r="Q15" s="73"/>
      <c r="R15" s="73"/>
      <c r="S15" s="73"/>
      <c r="T15" s="76">
        <v>0.63600000000000001</v>
      </c>
      <c r="U15" s="70" t="s">
        <v>283</v>
      </c>
      <c r="AA15" s="75">
        <v>3.5</v>
      </c>
      <c r="AB15" s="73" t="str">
        <f t="shared" si="0"/>
        <v>5S</v>
      </c>
      <c r="AC15" s="73" t="str">
        <f t="shared" si="1"/>
        <v>10S</v>
      </c>
      <c r="AD15" s="73">
        <f t="shared" si="2"/>
        <v>10</v>
      </c>
      <c r="AE15" s="73" t="str">
        <f t="shared" si="3"/>
        <v/>
      </c>
      <c r="AF15" s="73" t="str">
        <f t="shared" si="4"/>
        <v/>
      </c>
      <c r="AG15" s="73" t="str">
        <f t="shared" si="5"/>
        <v>40S</v>
      </c>
      <c r="AH15" s="73" t="str">
        <f t="shared" si="6"/>
        <v>STD</v>
      </c>
      <c r="AI15" s="73">
        <f t="shared" si="7"/>
        <v>40</v>
      </c>
      <c r="AJ15" s="73" t="str">
        <f t="shared" si="8"/>
        <v/>
      </c>
      <c r="AK15" s="73" t="str">
        <f t="shared" si="9"/>
        <v>80S</v>
      </c>
      <c r="AL15" s="73" t="str">
        <f t="shared" si="10"/>
        <v>XS</v>
      </c>
      <c r="AM15" s="73">
        <f t="shared" si="11"/>
        <v>80</v>
      </c>
      <c r="AN15" s="73" t="str">
        <f t="shared" si="12"/>
        <v/>
      </c>
      <c r="AO15" s="73" t="str">
        <f t="shared" si="13"/>
        <v/>
      </c>
      <c r="AP15" s="73" t="str">
        <f t="shared" si="14"/>
        <v/>
      </c>
      <c r="AQ15" s="73" t="str">
        <f t="shared" si="15"/>
        <v/>
      </c>
      <c r="AR15" s="76" t="str">
        <f t="shared" si="16"/>
        <v>XXS</v>
      </c>
      <c r="AU15" s="93">
        <v>12</v>
      </c>
      <c r="AV15" s="88">
        <f t="shared" si="17"/>
        <v>80</v>
      </c>
      <c r="AW15" s="88">
        <f t="shared" si="19"/>
        <v>12</v>
      </c>
      <c r="AX15" s="88">
        <f t="shared" si="18"/>
        <v>80</v>
      </c>
    </row>
    <row r="16" spans="1:52" ht="18" customHeight="1" x14ac:dyDescent="0.25">
      <c r="B16" s="75">
        <v>4</v>
      </c>
      <c r="C16" s="73">
        <v>4.5</v>
      </c>
      <c r="D16" s="73">
        <v>8.3000000000000004E-2</v>
      </c>
      <c r="E16" s="73">
        <v>0.12</v>
      </c>
      <c r="F16" s="73">
        <v>0.12</v>
      </c>
      <c r="G16" s="73"/>
      <c r="H16" s="73"/>
      <c r="I16" s="73">
        <v>0.23699999999999999</v>
      </c>
      <c r="J16" s="73">
        <v>0.23699999999999999</v>
      </c>
      <c r="K16" s="73">
        <v>0.23699999999999999</v>
      </c>
      <c r="L16" s="73">
        <v>0.28100000000000003</v>
      </c>
      <c r="M16" s="73">
        <v>0.33700000000000002</v>
      </c>
      <c r="N16" s="73">
        <v>0.33700000000000002</v>
      </c>
      <c r="O16" s="73">
        <v>0.33700000000000002</v>
      </c>
      <c r="P16" s="73"/>
      <c r="Q16" s="73">
        <v>0.438</v>
      </c>
      <c r="R16" s="73"/>
      <c r="S16" s="73">
        <v>0.53100000000000003</v>
      </c>
      <c r="T16" s="76">
        <v>0.67400000000000004</v>
      </c>
      <c r="U16" s="70" t="s">
        <v>283</v>
      </c>
      <c r="AA16" s="75">
        <v>4</v>
      </c>
      <c r="AB16" s="73" t="str">
        <f t="shared" si="0"/>
        <v>5S</v>
      </c>
      <c r="AC16" s="73" t="str">
        <f t="shared" si="1"/>
        <v>10S</v>
      </c>
      <c r="AD16" s="73">
        <f t="shared" si="2"/>
        <v>10</v>
      </c>
      <c r="AE16" s="73" t="str">
        <f t="shared" si="3"/>
        <v/>
      </c>
      <c r="AF16" s="73" t="str">
        <f t="shared" si="4"/>
        <v/>
      </c>
      <c r="AG16" s="73" t="str">
        <f t="shared" si="5"/>
        <v>40S</v>
      </c>
      <c r="AH16" s="73" t="str">
        <f t="shared" si="6"/>
        <v>STD</v>
      </c>
      <c r="AI16" s="73">
        <f t="shared" si="7"/>
        <v>40</v>
      </c>
      <c r="AJ16" s="73">
        <f t="shared" si="8"/>
        <v>60</v>
      </c>
      <c r="AK16" s="73" t="str">
        <f t="shared" si="9"/>
        <v>80S</v>
      </c>
      <c r="AL16" s="73" t="str">
        <f t="shared" si="10"/>
        <v>XS</v>
      </c>
      <c r="AM16" s="73">
        <f t="shared" si="11"/>
        <v>80</v>
      </c>
      <c r="AN16" s="73" t="str">
        <f t="shared" si="12"/>
        <v/>
      </c>
      <c r="AO16" s="73">
        <f t="shared" si="13"/>
        <v>120</v>
      </c>
      <c r="AP16" s="73" t="str">
        <f t="shared" si="14"/>
        <v/>
      </c>
      <c r="AQ16" s="73">
        <f t="shared" si="15"/>
        <v>160</v>
      </c>
      <c r="AR16" s="76" t="str">
        <f t="shared" si="16"/>
        <v>XXS</v>
      </c>
      <c r="AU16" s="93">
        <v>13</v>
      </c>
      <c r="AV16" s="88">
        <f t="shared" si="17"/>
        <v>100</v>
      </c>
      <c r="AW16" s="88">
        <f t="shared" si="19"/>
        <v>13</v>
      </c>
      <c r="AX16" s="88">
        <f t="shared" si="18"/>
        <v>100</v>
      </c>
    </row>
    <row r="17" spans="2:50" ht="18" customHeight="1" x14ac:dyDescent="0.25">
      <c r="B17" s="75">
        <v>5</v>
      </c>
      <c r="C17" s="73">
        <v>5.5629999999999997</v>
      </c>
      <c r="D17" s="73">
        <v>0.109</v>
      </c>
      <c r="E17" s="73">
        <v>0.13</v>
      </c>
      <c r="F17" s="73">
        <v>0.13400000000000001</v>
      </c>
      <c r="G17" s="73">
        <v>0.20300000000000001</v>
      </c>
      <c r="H17" s="73"/>
      <c r="I17" s="73">
        <v>0.25800000000000001</v>
      </c>
      <c r="J17" s="73">
        <v>0.25800000000000001</v>
      </c>
      <c r="K17" s="73">
        <v>0.25800000000000001</v>
      </c>
      <c r="L17" s="73"/>
      <c r="M17" s="73">
        <v>0.375</v>
      </c>
      <c r="N17" s="73">
        <v>0.375</v>
      </c>
      <c r="O17" s="73">
        <v>0.375</v>
      </c>
      <c r="P17" s="73"/>
      <c r="Q17" s="73">
        <v>0.5</v>
      </c>
      <c r="R17" s="73"/>
      <c r="S17" s="73">
        <v>0.625</v>
      </c>
      <c r="T17" s="76">
        <v>0.75</v>
      </c>
      <c r="U17" s="70" t="s">
        <v>283</v>
      </c>
      <c r="AA17" s="75">
        <v>5</v>
      </c>
      <c r="AB17" s="73" t="str">
        <f t="shared" si="0"/>
        <v>5S</v>
      </c>
      <c r="AC17" s="73" t="str">
        <f t="shared" si="1"/>
        <v>10S</v>
      </c>
      <c r="AD17" s="73">
        <f t="shared" si="2"/>
        <v>10</v>
      </c>
      <c r="AE17" s="73">
        <f t="shared" si="3"/>
        <v>20</v>
      </c>
      <c r="AF17" s="73" t="str">
        <f t="shared" si="4"/>
        <v/>
      </c>
      <c r="AG17" s="73" t="str">
        <f t="shared" si="5"/>
        <v>40S</v>
      </c>
      <c r="AH17" s="73" t="str">
        <f t="shared" si="6"/>
        <v>STD</v>
      </c>
      <c r="AI17" s="73">
        <f t="shared" si="7"/>
        <v>40</v>
      </c>
      <c r="AJ17" s="73" t="str">
        <f t="shared" si="8"/>
        <v/>
      </c>
      <c r="AK17" s="73" t="str">
        <f t="shared" si="9"/>
        <v>80S</v>
      </c>
      <c r="AL17" s="73" t="str">
        <f t="shared" si="10"/>
        <v>XS</v>
      </c>
      <c r="AM17" s="73">
        <f t="shared" si="11"/>
        <v>80</v>
      </c>
      <c r="AN17" s="73" t="str">
        <f t="shared" si="12"/>
        <v/>
      </c>
      <c r="AO17" s="73">
        <f t="shared" si="13"/>
        <v>120</v>
      </c>
      <c r="AP17" s="73" t="str">
        <f t="shared" si="14"/>
        <v/>
      </c>
      <c r="AQ17" s="73">
        <f t="shared" si="15"/>
        <v>160</v>
      </c>
      <c r="AR17" s="76" t="str">
        <f t="shared" si="16"/>
        <v>XXS</v>
      </c>
      <c r="AU17" s="93">
        <v>14</v>
      </c>
      <c r="AV17" s="88">
        <f t="shared" si="17"/>
        <v>120</v>
      </c>
      <c r="AW17" s="88">
        <f t="shared" si="19"/>
        <v>14</v>
      </c>
      <c r="AX17" s="88">
        <f t="shared" si="18"/>
        <v>120</v>
      </c>
    </row>
    <row r="18" spans="2:50" ht="18" customHeight="1" x14ac:dyDescent="0.25">
      <c r="B18" s="75">
        <v>6</v>
      </c>
      <c r="C18" s="73">
        <v>6.625</v>
      </c>
      <c r="D18" s="73">
        <v>0.109</v>
      </c>
      <c r="E18" s="73">
        <v>0.13400000000000001</v>
      </c>
      <c r="F18" s="73">
        <v>0.13400000000000001</v>
      </c>
      <c r="G18" s="73">
        <v>0.20300000000000001</v>
      </c>
      <c r="H18" s="73"/>
      <c r="I18" s="73">
        <v>0.28000000000000003</v>
      </c>
      <c r="J18" s="73">
        <v>0.28000000000000003</v>
      </c>
      <c r="K18" s="73">
        <v>0.28000000000000003</v>
      </c>
      <c r="L18" s="73"/>
      <c r="M18" s="73">
        <v>0.432</v>
      </c>
      <c r="N18" s="73">
        <v>0.432</v>
      </c>
      <c r="O18" s="73">
        <v>0.432</v>
      </c>
      <c r="P18" s="73"/>
      <c r="Q18" s="73">
        <v>0.56200000000000006</v>
      </c>
      <c r="R18" s="73"/>
      <c r="S18" s="73">
        <v>0.71899999999999997</v>
      </c>
      <c r="T18" s="76">
        <v>0.86399999999999999</v>
      </c>
      <c r="U18" s="70" t="s">
        <v>283</v>
      </c>
      <c r="AA18" s="75">
        <v>6</v>
      </c>
      <c r="AB18" s="73" t="str">
        <f t="shared" si="0"/>
        <v>5S</v>
      </c>
      <c r="AC18" s="73" t="str">
        <f t="shared" si="1"/>
        <v>10S</v>
      </c>
      <c r="AD18" s="73">
        <f t="shared" si="2"/>
        <v>10</v>
      </c>
      <c r="AE18" s="73">
        <f t="shared" si="3"/>
        <v>20</v>
      </c>
      <c r="AF18" s="73" t="str">
        <f t="shared" si="4"/>
        <v/>
      </c>
      <c r="AG18" s="73" t="str">
        <f t="shared" si="5"/>
        <v>40S</v>
      </c>
      <c r="AH18" s="73" t="str">
        <f t="shared" si="6"/>
        <v>STD</v>
      </c>
      <c r="AI18" s="73">
        <f t="shared" si="7"/>
        <v>40</v>
      </c>
      <c r="AJ18" s="73" t="str">
        <f t="shared" si="8"/>
        <v/>
      </c>
      <c r="AK18" s="73" t="str">
        <f t="shared" si="9"/>
        <v>80S</v>
      </c>
      <c r="AL18" s="73" t="str">
        <f t="shared" si="10"/>
        <v>XS</v>
      </c>
      <c r="AM18" s="73">
        <f t="shared" si="11"/>
        <v>80</v>
      </c>
      <c r="AN18" s="73" t="str">
        <f t="shared" si="12"/>
        <v/>
      </c>
      <c r="AO18" s="73">
        <f t="shared" si="13"/>
        <v>120</v>
      </c>
      <c r="AP18" s="73" t="str">
        <f t="shared" si="14"/>
        <v/>
      </c>
      <c r="AQ18" s="73">
        <f t="shared" si="15"/>
        <v>160</v>
      </c>
      <c r="AR18" s="76" t="str">
        <f t="shared" si="16"/>
        <v>XXS</v>
      </c>
      <c r="AU18" s="93">
        <v>15</v>
      </c>
      <c r="AV18" s="88">
        <f t="shared" si="17"/>
        <v>140</v>
      </c>
      <c r="AW18" s="88">
        <f t="shared" si="19"/>
        <v>15</v>
      </c>
      <c r="AX18" s="88">
        <f t="shared" si="18"/>
        <v>140</v>
      </c>
    </row>
    <row r="19" spans="2:50" ht="18" customHeight="1" x14ac:dyDescent="0.25">
      <c r="B19" s="75">
        <v>8</v>
      </c>
      <c r="C19" s="73">
        <v>8.625</v>
      </c>
      <c r="D19" s="73">
        <v>0.109</v>
      </c>
      <c r="E19" s="73">
        <v>0.14799999999999999</v>
      </c>
      <c r="F19" s="73">
        <v>0.14799999999999999</v>
      </c>
      <c r="G19" s="73">
        <v>0.25</v>
      </c>
      <c r="H19" s="73">
        <v>0.27700000000000002</v>
      </c>
      <c r="I19" s="73">
        <v>0.32200000000000001</v>
      </c>
      <c r="J19" s="73">
        <v>0.32200000000000001</v>
      </c>
      <c r="K19" s="73">
        <v>0.32200000000000001</v>
      </c>
      <c r="L19" s="73">
        <v>0.40600000000000003</v>
      </c>
      <c r="M19" s="73">
        <v>0.5</v>
      </c>
      <c r="N19" s="73">
        <v>0.5</v>
      </c>
      <c r="O19" s="73">
        <v>0.5</v>
      </c>
      <c r="P19" s="73">
        <v>0.59399999999999997</v>
      </c>
      <c r="Q19" s="73">
        <v>0.71899999999999997</v>
      </c>
      <c r="R19" s="73">
        <v>0.81200000000000006</v>
      </c>
      <c r="S19" s="73">
        <v>0.90600000000000003</v>
      </c>
      <c r="T19" s="76">
        <v>0.875</v>
      </c>
      <c r="U19" s="70" t="s">
        <v>283</v>
      </c>
      <c r="AA19" s="75">
        <v>8</v>
      </c>
      <c r="AB19" s="73" t="str">
        <f t="shared" si="0"/>
        <v>5S</v>
      </c>
      <c r="AC19" s="73" t="str">
        <f t="shared" si="1"/>
        <v>10S</v>
      </c>
      <c r="AD19" s="73">
        <f t="shared" si="2"/>
        <v>10</v>
      </c>
      <c r="AE19" s="73">
        <f t="shared" si="3"/>
        <v>20</v>
      </c>
      <c r="AF19" s="73">
        <f t="shared" si="4"/>
        <v>30</v>
      </c>
      <c r="AG19" s="73" t="str">
        <f t="shared" si="5"/>
        <v>40S</v>
      </c>
      <c r="AH19" s="73" t="str">
        <f t="shared" si="6"/>
        <v>STD</v>
      </c>
      <c r="AI19" s="73">
        <f t="shared" si="7"/>
        <v>40</v>
      </c>
      <c r="AJ19" s="73">
        <f t="shared" si="8"/>
        <v>60</v>
      </c>
      <c r="AK19" s="73" t="str">
        <f t="shared" si="9"/>
        <v>80S</v>
      </c>
      <c r="AL19" s="73" t="str">
        <f t="shared" si="10"/>
        <v>XS</v>
      </c>
      <c r="AM19" s="73">
        <f t="shared" si="11"/>
        <v>80</v>
      </c>
      <c r="AN19" s="73">
        <f t="shared" si="12"/>
        <v>100</v>
      </c>
      <c r="AO19" s="73">
        <f t="shared" si="13"/>
        <v>120</v>
      </c>
      <c r="AP19" s="73">
        <f t="shared" si="14"/>
        <v>140</v>
      </c>
      <c r="AQ19" s="73">
        <f t="shared" si="15"/>
        <v>160</v>
      </c>
      <c r="AR19" s="76" t="str">
        <f t="shared" si="16"/>
        <v>XXS</v>
      </c>
      <c r="AU19" s="93">
        <v>16</v>
      </c>
      <c r="AV19" s="88">
        <f t="shared" si="17"/>
        <v>160</v>
      </c>
      <c r="AW19" s="88">
        <f t="shared" si="19"/>
        <v>16</v>
      </c>
      <c r="AX19" s="88">
        <f t="shared" si="18"/>
        <v>160</v>
      </c>
    </row>
    <row r="20" spans="2:50" ht="18" customHeight="1" x14ac:dyDescent="0.25">
      <c r="B20" s="75">
        <v>10</v>
      </c>
      <c r="C20" s="73">
        <v>10.75</v>
      </c>
      <c r="D20" s="73">
        <v>0.13400000000000001</v>
      </c>
      <c r="E20" s="73">
        <v>0.16500000000000001</v>
      </c>
      <c r="F20" s="73">
        <v>0.16500000000000001</v>
      </c>
      <c r="G20" s="73">
        <v>0.25</v>
      </c>
      <c r="H20" s="73">
        <v>0.307</v>
      </c>
      <c r="I20" s="73">
        <v>0.36499999999999999</v>
      </c>
      <c r="J20" s="73">
        <v>0.36499999999999999</v>
      </c>
      <c r="K20" s="73">
        <v>0.36499999999999999</v>
      </c>
      <c r="L20" s="73">
        <v>0.5</v>
      </c>
      <c r="M20" s="73">
        <v>0.5</v>
      </c>
      <c r="N20" s="73">
        <v>0.5</v>
      </c>
      <c r="O20" s="73">
        <v>0.59399999999999997</v>
      </c>
      <c r="P20" s="73">
        <v>0.71899999999999997</v>
      </c>
      <c r="Q20" s="73">
        <v>0.84399999999999997</v>
      </c>
      <c r="R20" s="73">
        <v>1</v>
      </c>
      <c r="S20" s="73">
        <v>1.125</v>
      </c>
      <c r="T20" s="76">
        <v>1</v>
      </c>
      <c r="U20" s="70" t="s">
        <v>283</v>
      </c>
      <c r="AA20" s="75">
        <v>10</v>
      </c>
      <c r="AB20" s="73" t="str">
        <f t="shared" si="0"/>
        <v>5S</v>
      </c>
      <c r="AC20" s="73" t="str">
        <f t="shared" si="1"/>
        <v>10S</v>
      </c>
      <c r="AD20" s="73">
        <f t="shared" si="2"/>
        <v>10</v>
      </c>
      <c r="AE20" s="73">
        <f t="shared" si="3"/>
        <v>20</v>
      </c>
      <c r="AF20" s="73">
        <f t="shared" si="4"/>
        <v>30</v>
      </c>
      <c r="AG20" s="73" t="str">
        <f t="shared" si="5"/>
        <v>40S</v>
      </c>
      <c r="AH20" s="73" t="str">
        <f t="shared" si="6"/>
        <v>STD</v>
      </c>
      <c r="AI20" s="73">
        <f t="shared" si="7"/>
        <v>40</v>
      </c>
      <c r="AJ20" s="73">
        <f t="shared" si="8"/>
        <v>60</v>
      </c>
      <c r="AK20" s="73" t="str">
        <f t="shared" si="9"/>
        <v>80S</v>
      </c>
      <c r="AL20" s="73" t="str">
        <f t="shared" si="10"/>
        <v>XS</v>
      </c>
      <c r="AM20" s="73">
        <f t="shared" si="11"/>
        <v>80</v>
      </c>
      <c r="AN20" s="73">
        <f t="shared" si="12"/>
        <v>100</v>
      </c>
      <c r="AO20" s="73">
        <f t="shared" si="13"/>
        <v>120</v>
      </c>
      <c r="AP20" s="73">
        <f t="shared" si="14"/>
        <v>140</v>
      </c>
      <c r="AQ20" s="73">
        <f t="shared" si="15"/>
        <v>160</v>
      </c>
      <c r="AR20" s="76" t="str">
        <f t="shared" si="16"/>
        <v>XXS</v>
      </c>
      <c r="AU20" s="93">
        <v>17</v>
      </c>
      <c r="AV20" s="88" t="str">
        <f t="shared" si="17"/>
        <v>XXS</v>
      </c>
      <c r="AW20" s="88">
        <f t="shared" si="19"/>
        <v>17</v>
      </c>
      <c r="AX20" s="88" t="str">
        <f t="shared" si="18"/>
        <v>XXS</v>
      </c>
    </row>
    <row r="21" spans="2:50" ht="18" customHeight="1" x14ac:dyDescent="0.25">
      <c r="B21" s="75">
        <v>12</v>
      </c>
      <c r="C21" s="73">
        <v>12.75</v>
      </c>
      <c r="D21" s="73">
        <v>0.16500000000000001</v>
      </c>
      <c r="E21" s="73">
        <v>0.18</v>
      </c>
      <c r="F21" s="73">
        <v>0.18</v>
      </c>
      <c r="G21" s="73">
        <v>0.25</v>
      </c>
      <c r="H21" s="73">
        <v>0.33</v>
      </c>
      <c r="I21" s="73">
        <v>0.375</v>
      </c>
      <c r="J21" s="73">
        <v>0.375</v>
      </c>
      <c r="K21" s="73">
        <v>0.40600000000000003</v>
      </c>
      <c r="L21" s="73">
        <v>0.56200000000000006</v>
      </c>
      <c r="M21" s="73">
        <v>0.5</v>
      </c>
      <c r="N21" s="73">
        <v>0.5</v>
      </c>
      <c r="O21" s="73">
        <v>0.68799999999999994</v>
      </c>
      <c r="P21" s="73">
        <v>0.84399999999999997</v>
      </c>
      <c r="Q21" s="73">
        <v>1</v>
      </c>
      <c r="R21" s="73">
        <v>1.125</v>
      </c>
      <c r="S21" s="73">
        <v>1.3120000000000001</v>
      </c>
      <c r="T21" s="76">
        <v>1</v>
      </c>
      <c r="U21" s="70" t="s">
        <v>283</v>
      </c>
      <c r="AA21" s="75">
        <v>12</v>
      </c>
      <c r="AB21" s="73" t="str">
        <f t="shared" si="0"/>
        <v>5S</v>
      </c>
      <c r="AC21" s="73" t="str">
        <f t="shared" si="1"/>
        <v>10S</v>
      </c>
      <c r="AD21" s="73">
        <f t="shared" si="2"/>
        <v>10</v>
      </c>
      <c r="AE21" s="73">
        <f t="shared" si="3"/>
        <v>20</v>
      </c>
      <c r="AF21" s="73">
        <f t="shared" si="4"/>
        <v>30</v>
      </c>
      <c r="AG21" s="73" t="str">
        <f t="shared" si="5"/>
        <v>40S</v>
      </c>
      <c r="AH21" s="73" t="str">
        <f t="shared" si="6"/>
        <v>STD</v>
      </c>
      <c r="AI21" s="73">
        <f t="shared" si="7"/>
        <v>40</v>
      </c>
      <c r="AJ21" s="73">
        <f t="shared" si="8"/>
        <v>60</v>
      </c>
      <c r="AK21" s="73" t="str">
        <f t="shared" si="9"/>
        <v>80S</v>
      </c>
      <c r="AL21" s="73" t="str">
        <f t="shared" si="10"/>
        <v>XS</v>
      </c>
      <c r="AM21" s="73">
        <f t="shared" si="11"/>
        <v>80</v>
      </c>
      <c r="AN21" s="73">
        <f t="shared" si="12"/>
        <v>100</v>
      </c>
      <c r="AO21" s="73">
        <f t="shared" si="13"/>
        <v>120</v>
      </c>
      <c r="AP21" s="73">
        <f t="shared" si="14"/>
        <v>140</v>
      </c>
      <c r="AQ21" s="73">
        <f t="shared" si="15"/>
        <v>160</v>
      </c>
      <c r="AR21" s="76" t="str">
        <f t="shared" si="16"/>
        <v>XXS</v>
      </c>
    </row>
    <row r="22" spans="2:50" ht="18" customHeight="1" x14ac:dyDescent="0.25">
      <c r="B22" s="75">
        <v>14</v>
      </c>
      <c r="C22" s="73">
        <v>14</v>
      </c>
      <c r="D22" s="73"/>
      <c r="E22" s="73">
        <v>0.188</v>
      </c>
      <c r="F22" s="73">
        <v>0.25</v>
      </c>
      <c r="G22" s="73">
        <v>0.312</v>
      </c>
      <c r="H22" s="73">
        <v>0.375</v>
      </c>
      <c r="I22" s="73">
        <v>0.375</v>
      </c>
      <c r="J22" s="73">
        <v>0.375</v>
      </c>
      <c r="K22" s="73">
        <v>0.438</v>
      </c>
      <c r="L22" s="73">
        <v>0.59399999999999997</v>
      </c>
      <c r="M22" s="73">
        <v>0.5</v>
      </c>
      <c r="N22" s="73">
        <v>0.5</v>
      </c>
      <c r="O22" s="73">
        <v>0.75</v>
      </c>
      <c r="P22" s="73">
        <v>0.93799999999999994</v>
      </c>
      <c r="Q22" s="73">
        <v>1.0940000000000001</v>
      </c>
      <c r="R22" s="73">
        <v>1.25</v>
      </c>
      <c r="S22" s="73">
        <v>1.4059999999999999</v>
      </c>
      <c r="T22" s="76"/>
      <c r="U22" s="70" t="s">
        <v>283</v>
      </c>
      <c r="AA22" s="75">
        <v>14</v>
      </c>
      <c r="AB22" s="73" t="str">
        <f t="shared" si="0"/>
        <v/>
      </c>
      <c r="AC22" s="73" t="str">
        <f t="shared" si="1"/>
        <v>10S</v>
      </c>
      <c r="AD22" s="73">
        <f t="shared" si="2"/>
        <v>10</v>
      </c>
      <c r="AE22" s="73">
        <f t="shared" si="3"/>
        <v>20</v>
      </c>
      <c r="AF22" s="73">
        <f t="shared" si="4"/>
        <v>30</v>
      </c>
      <c r="AG22" s="73" t="str">
        <f t="shared" si="5"/>
        <v>40S</v>
      </c>
      <c r="AH22" s="73" t="str">
        <f t="shared" si="6"/>
        <v>STD</v>
      </c>
      <c r="AI22" s="73">
        <f t="shared" si="7"/>
        <v>40</v>
      </c>
      <c r="AJ22" s="73">
        <f t="shared" si="8"/>
        <v>60</v>
      </c>
      <c r="AK22" s="73" t="str">
        <f t="shared" si="9"/>
        <v>80S</v>
      </c>
      <c r="AL22" s="73" t="str">
        <f t="shared" si="10"/>
        <v>XS</v>
      </c>
      <c r="AM22" s="73">
        <f t="shared" si="11"/>
        <v>80</v>
      </c>
      <c r="AN22" s="73">
        <f t="shared" si="12"/>
        <v>100</v>
      </c>
      <c r="AO22" s="73">
        <f t="shared" si="13"/>
        <v>120</v>
      </c>
      <c r="AP22" s="73">
        <f t="shared" si="14"/>
        <v>140</v>
      </c>
      <c r="AQ22" s="73">
        <f t="shared" si="15"/>
        <v>160</v>
      </c>
      <c r="AR22" s="76" t="str">
        <f t="shared" si="16"/>
        <v/>
      </c>
    </row>
    <row r="23" spans="2:50" ht="18" customHeight="1" x14ac:dyDescent="0.25">
      <c r="B23" s="75">
        <v>16</v>
      </c>
      <c r="C23" s="73">
        <v>16</v>
      </c>
      <c r="D23" s="73"/>
      <c r="E23" s="73">
        <v>0.188</v>
      </c>
      <c r="F23" s="73">
        <v>0.25</v>
      </c>
      <c r="G23" s="73">
        <v>0.312</v>
      </c>
      <c r="H23" s="73">
        <v>0.375</v>
      </c>
      <c r="I23" s="73">
        <v>0.375</v>
      </c>
      <c r="J23" s="73">
        <v>0.375</v>
      </c>
      <c r="K23" s="73">
        <v>0.5</v>
      </c>
      <c r="L23" s="73">
        <v>0.65600000000000003</v>
      </c>
      <c r="M23" s="73">
        <v>0.5</v>
      </c>
      <c r="N23" s="73">
        <v>0.5</v>
      </c>
      <c r="O23" s="73">
        <v>0.84399999999999997</v>
      </c>
      <c r="P23" s="73">
        <v>1.0309999999999999</v>
      </c>
      <c r="Q23" s="73">
        <v>1.2190000000000001</v>
      </c>
      <c r="R23" s="73">
        <v>1.4279999999999999</v>
      </c>
      <c r="S23" s="73">
        <v>1.5940000000000001</v>
      </c>
      <c r="T23" s="76"/>
      <c r="U23" s="70" t="s">
        <v>283</v>
      </c>
      <c r="AA23" s="75">
        <v>16</v>
      </c>
      <c r="AB23" s="73" t="str">
        <f t="shared" si="0"/>
        <v/>
      </c>
      <c r="AC23" s="73" t="str">
        <f t="shared" si="1"/>
        <v>10S</v>
      </c>
      <c r="AD23" s="73">
        <f t="shared" si="2"/>
        <v>10</v>
      </c>
      <c r="AE23" s="73">
        <f t="shared" si="3"/>
        <v>20</v>
      </c>
      <c r="AF23" s="73">
        <f t="shared" si="4"/>
        <v>30</v>
      </c>
      <c r="AG23" s="73" t="str">
        <f t="shared" si="5"/>
        <v>40S</v>
      </c>
      <c r="AH23" s="73" t="str">
        <f t="shared" si="6"/>
        <v>STD</v>
      </c>
      <c r="AI23" s="73">
        <f t="shared" si="7"/>
        <v>40</v>
      </c>
      <c r="AJ23" s="73">
        <f t="shared" si="8"/>
        <v>60</v>
      </c>
      <c r="AK23" s="73" t="str">
        <f t="shared" si="9"/>
        <v>80S</v>
      </c>
      <c r="AL23" s="73" t="str">
        <f t="shared" si="10"/>
        <v>XS</v>
      </c>
      <c r="AM23" s="73">
        <f t="shared" si="11"/>
        <v>80</v>
      </c>
      <c r="AN23" s="73">
        <f t="shared" si="12"/>
        <v>100</v>
      </c>
      <c r="AO23" s="73">
        <f t="shared" si="13"/>
        <v>120</v>
      </c>
      <c r="AP23" s="73">
        <f t="shared" si="14"/>
        <v>140</v>
      </c>
      <c r="AQ23" s="73">
        <f t="shared" si="15"/>
        <v>160</v>
      </c>
      <c r="AR23" s="76" t="str">
        <f t="shared" si="16"/>
        <v/>
      </c>
    </row>
    <row r="24" spans="2:50" ht="18" customHeight="1" x14ac:dyDescent="0.25">
      <c r="B24" s="75">
        <v>18</v>
      </c>
      <c r="C24" s="73">
        <v>18</v>
      </c>
      <c r="D24" s="73"/>
      <c r="E24" s="73">
        <v>0.188</v>
      </c>
      <c r="F24" s="73">
        <v>0.25</v>
      </c>
      <c r="G24" s="73">
        <v>0.312</v>
      </c>
      <c r="H24" s="73">
        <v>0.438</v>
      </c>
      <c r="I24" s="73">
        <v>0.375</v>
      </c>
      <c r="J24" s="73">
        <v>0.375</v>
      </c>
      <c r="K24" s="73">
        <v>0.56200000000000006</v>
      </c>
      <c r="L24" s="73">
        <v>0.75</v>
      </c>
      <c r="M24" s="73">
        <v>0.5</v>
      </c>
      <c r="N24" s="73">
        <v>0.5</v>
      </c>
      <c r="O24" s="73">
        <v>0.93799999999999994</v>
      </c>
      <c r="P24" s="73">
        <v>1.1559999999999999</v>
      </c>
      <c r="Q24" s="73">
        <v>1.375</v>
      </c>
      <c r="R24" s="73">
        <v>1.5620000000000001</v>
      </c>
      <c r="S24" s="73">
        <v>1.7809999999999999</v>
      </c>
      <c r="T24" s="76"/>
      <c r="U24" s="70" t="s">
        <v>283</v>
      </c>
      <c r="AA24" s="75">
        <v>18</v>
      </c>
      <c r="AB24" s="73" t="str">
        <f t="shared" si="0"/>
        <v/>
      </c>
      <c r="AC24" s="73" t="str">
        <f t="shared" si="1"/>
        <v>10S</v>
      </c>
      <c r="AD24" s="73">
        <f t="shared" si="2"/>
        <v>10</v>
      </c>
      <c r="AE24" s="73">
        <f t="shared" si="3"/>
        <v>20</v>
      </c>
      <c r="AF24" s="73">
        <f t="shared" si="4"/>
        <v>30</v>
      </c>
      <c r="AG24" s="73" t="str">
        <f t="shared" si="5"/>
        <v>40S</v>
      </c>
      <c r="AH24" s="73" t="str">
        <f t="shared" si="6"/>
        <v>STD</v>
      </c>
      <c r="AI24" s="73">
        <f t="shared" si="7"/>
        <v>40</v>
      </c>
      <c r="AJ24" s="73">
        <f t="shared" si="8"/>
        <v>60</v>
      </c>
      <c r="AK24" s="73" t="str">
        <f t="shared" si="9"/>
        <v>80S</v>
      </c>
      <c r="AL24" s="73" t="str">
        <f t="shared" si="10"/>
        <v>XS</v>
      </c>
      <c r="AM24" s="73">
        <f t="shared" si="11"/>
        <v>80</v>
      </c>
      <c r="AN24" s="73">
        <f t="shared" si="12"/>
        <v>100</v>
      </c>
      <c r="AO24" s="73">
        <f t="shared" si="13"/>
        <v>120</v>
      </c>
      <c r="AP24" s="73">
        <f t="shared" si="14"/>
        <v>140</v>
      </c>
      <c r="AQ24" s="73">
        <f t="shared" si="15"/>
        <v>160</v>
      </c>
      <c r="AR24" s="76" t="str">
        <f t="shared" si="16"/>
        <v/>
      </c>
    </row>
    <row r="25" spans="2:50" ht="18" customHeight="1" x14ac:dyDescent="0.25">
      <c r="B25" s="75">
        <v>20</v>
      </c>
      <c r="C25" s="73">
        <v>20</v>
      </c>
      <c r="D25" s="73"/>
      <c r="E25" s="73">
        <v>0.219</v>
      </c>
      <c r="F25" s="73">
        <v>0.25</v>
      </c>
      <c r="G25" s="73">
        <v>0.375</v>
      </c>
      <c r="H25" s="73">
        <v>0.5</v>
      </c>
      <c r="I25" s="73">
        <v>0.375</v>
      </c>
      <c r="J25" s="73">
        <v>0.375</v>
      </c>
      <c r="K25" s="73">
        <v>0.59399999999999997</v>
      </c>
      <c r="L25" s="73">
        <v>0.81200000000000006</v>
      </c>
      <c r="M25" s="73">
        <v>0.5</v>
      </c>
      <c r="N25" s="73">
        <v>0.5</v>
      </c>
      <c r="O25" s="73">
        <v>1.0309999999999999</v>
      </c>
      <c r="P25" s="73">
        <v>1.2809999999999999</v>
      </c>
      <c r="Q25" s="73">
        <v>1.5</v>
      </c>
      <c r="R25" s="73">
        <v>1.75</v>
      </c>
      <c r="S25" s="73">
        <v>1.9690000000000001</v>
      </c>
      <c r="T25" s="76"/>
      <c r="U25" s="70" t="s">
        <v>283</v>
      </c>
      <c r="AA25" s="75">
        <v>20</v>
      </c>
      <c r="AB25" s="73" t="str">
        <f t="shared" si="0"/>
        <v/>
      </c>
      <c r="AC25" s="73" t="str">
        <f t="shared" si="1"/>
        <v>10S</v>
      </c>
      <c r="AD25" s="73">
        <f t="shared" si="2"/>
        <v>10</v>
      </c>
      <c r="AE25" s="73">
        <f t="shared" si="3"/>
        <v>20</v>
      </c>
      <c r="AF25" s="73">
        <f t="shared" si="4"/>
        <v>30</v>
      </c>
      <c r="AG25" s="73" t="str">
        <f t="shared" si="5"/>
        <v>40S</v>
      </c>
      <c r="AH25" s="73" t="str">
        <f t="shared" si="6"/>
        <v>STD</v>
      </c>
      <c r="AI25" s="73">
        <f t="shared" si="7"/>
        <v>40</v>
      </c>
      <c r="AJ25" s="73">
        <f t="shared" si="8"/>
        <v>60</v>
      </c>
      <c r="AK25" s="73" t="str">
        <f t="shared" si="9"/>
        <v>80S</v>
      </c>
      <c r="AL25" s="73" t="str">
        <f t="shared" si="10"/>
        <v>XS</v>
      </c>
      <c r="AM25" s="73">
        <f t="shared" si="11"/>
        <v>80</v>
      </c>
      <c r="AN25" s="73">
        <f t="shared" si="12"/>
        <v>100</v>
      </c>
      <c r="AO25" s="73">
        <f t="shared" si="13"/>
        <v>120</v>
      </c>
      <c r="AP25" s="73">
        <f t="shared" si="14"/>
        <v>140</v>
      </c>
      <c r="AQ25" s="73">
        <f t="shared" si="15"/>
        <v>160</v>
      </c>
      <c r="AR25" s="76" t="str">
        <f t="shared" si="16"/>
        <v/>
      </c>
    </row>
    <row r="26" spans="2:50" ht="18" customHeight="1" x14ac:dyDescent="0.25">
      <c r="B26" s="75">
        <v>22</v>
      </c>
      <c r="C26" s="73">
        <v>22</v>
      </c>
      <c r="D26" s="73"/>
      <c r="E26" s="73">
        <v>0.219</v>
      </c>
      <c r="F26" s="73">
        <v>0.25</v>
      </c>
      <c r="G26" s="73">
        <v>0.375</v>
      </c>
      <c r="H26" s="73">
        <v>0.5</v>
      </c>
      <c r="I26" s="73">
        <v>0.375</v>
      </c>
      <c r="J26" s="73">
        <v>0.375</v>
      </c>
      <c r="K26" s="73"/>
      <c r="L26" s="73">
        <v>0.875</v>
      </c>
      <c r="M26" s="73">
        <v>0.5</v>
      </c>
      <c r="N26" s="73">
        <v>0.5</v>
      </c>
      <c r="O26" s="73">
        <v>1.125</v>
      </c>
      <c r="P26" s="73">
        <v>1.375</v>
      </c>
      <c r="Q26" s="73">
        <v>1.625</v>
      </c>
      <c r="R26" s="73">
        <v>1.875</v>
      </c>
      <c r="S26" s="73">
        <v>2.125</v>
      </c>
      <c r="T26" s="76"/>
      <c r="U26" s="70" t="s">
        <v>283</v>
      </c>
      <c r="AA26" s="75">
        <v>22</v>
      </c>
      <c r="AB26" s="73" t="str">
        <f t="shared" si="0"/>
        <v/>
      </c>
      <c r="AC26" s="73" t="str">
        <f t="shared" si="1"/>
        <v>10S</v>
      </c>
      <c r="AD26" s="73">
        <f t="shared" si="2"/>
        <v>10</v>
      </c>
      <c r="AE26" s="73">
        <f t="shared" si="3"/>
        <v>20</v>
      </c>
      <c r="AF26" s="73">
        <f t="shared" si="4"/>
        <v>30</v>
      </c>
      <c r="AG26" s="73" t="str">
        <f t="shared" si="5"/>
        <v>40S</v>
      </c>
      <c r="AH26" s="73" t="str">
        <f t="shared" si="6"/>
        <v>STD</v>
      </c>
      <c r="AI26" s="73" t="str">
        <f t="shared" si="7"/>
        <v/>
      </c>
      <c r="AJ26" s="73">
        <f t="shared" si="8"/>
        <v>60</v>
      </c>
      <c r="AK26" s="73" t="str">
        <f t="shared" si="9"/>
        <v>80S</v>
      </c>
      <c r="AL26" s="73" t="str">
        <f t="shared" si="10"/>
        <v>XS</v>
      </c>
      <c r="AM26" s="73">
        <f t="shared" si="11"/>
        <v>80</v>
      </c>
      <c r="AN26" s="73">
        <f t="shared" si="12"/>
        <v>100</v>
      </c>
      <c r="AO26" s="73">
        <f t="shared" si="13"/>
        <v>120</v>
      </c>
      <c r="AP26" s="73">
        <f t="shared" si="14"/>
        <v>140</v>
      </c>
      <c r="AQ26" s="73">
        <f t="shared" si="15"/>
        <v>160</v>
      </c>
      <c r="AR26" s="76" t="str">
        <f t="shared" si="16"/>
        <v/>
      </c>
    </row>
    <row r="27" spans="2:50" ht="18" customHeight="1" x14ac:dyDescent="0.25">
      <c r="B27" s="75">
        <v>24</v>
      </c>
      <c r="C27" s="73">
        <v>24</v>
      </c>
      <c r="D27" s="73"/>
      <c r="E27" s="73">
        <v>0.25</v>
      </c>
      <c r="F27" s="73">
        <v>0.25</v>
      </c>
      <c r="G27" s="73">
        <v>0.375</v>
      </c>
      <c r="H27" s="73">
        <v>0.56200000000000006</v>
      </c>
      <c r="I27" s="73">
        <v>0.375</v>
      </c>
      <c r="J27" s="73">
        <v>0.375</v>
      </c>
      <c r="K27" s="73">
        <v>0.68799999999999994</v>
      </c>
      <c r="L27" s="73">
        <v>0.96899999999999997</v>
      </c>
      <c r="M27" s="73">
        <v>0.5</v>
      </c>
      <c r="N27" s="73">
        <v>0.5</v>
      </c>
      <c r="O27" s="73">
        <v>1.2190000000000001</v>
      </c>
      <c r="P27" s="73">
        <v>1.5309999999999999</v>
      </c>
      <c r="Q27" s="73">
        <v>1.8120000000000001</v>
      </c>
      <c r="R27" s="73">
        <v>2.0619999999999998</v>
      </c>
      <c r="S27" s="73">
        <v>2.3439999999999999</v>
      </c>
      <c r="T27" s="76"/>
      <c r="U27" s="70" t="s">
        <v>283</v>
      </c>
      <c r="AA27" s="75">
        <v>24</v>
      </c>
      <c r="AB27" s="73" t="str">
        <f t="shared" si="0"/>
        <v/>
      </c>
      <c r="AC27" s="73" t="str">
        <f t="shared" si="1"/>
        <v>10S</v>
      </c>
      <c r="AD27" s="73">
        <f t="shared" si="2"/>
        <v>10</v>
      </c>
      <c r="AE27" s="73">
        <f t="shared" si="3"/>
        <v>20</v>
      </c>
      <c r="AF27" s="73">
        <f t="shared" si="4"/>
        <v>30</v>
      </c>
      <c r="AG27" s="73" t="str">
        <f t="shared" si="5"/>
        <v>40S</v>
      </c>
      <c r="AH27" s="73" t="str">
        <f t="shared" si="6"/>
        <v>STD</v>
      </c>
      <c r="AI27" s="73">
        <f t="shared" si="7"/>
        <v>40</v>
      </c>
      <c r="AJ27" s="73">
        <f t="shared" si="8"/>
        <v>60</v>
      </c>
      <c r="AK27" s="73" t="str">
        <f t="shared" si="9"/>
        <v>80S</v>
      </c>
      <c r="AL27" s="73" t="str">
        <f t="shared" si="10"/>
        <v>XS</v>
      </c>
      <c r="AM27" s="73">
        <f t="shared" si="11"/>
        <v>80</v>
      </c>
      <c r="AN27" s="73">
        <f t="shared" si="12"/>
        <v>100</v>
      </c>
      <c r="AO27" s="73">
        <f t="shared" si="13"/>
        <v>120</v>
      </c>
      <c r="AP27" s="73">
        <f t="shared" si="14"/>
        <v>140</v>
      </c>
      <c r="AQ27" s="73">
        <f t="shared" si="15"/>
        <v>160</v>
      </c>
      <c r="AR27" s="76" t="str">
        <f t="shared" si="16"/>
        <v/>
      </c>
    </row>
    <row r="28" spans="2:50" ht="18" customHeight="1" x14ac:dyDescent="0.25">
      <c r="B28" s="75">
        <v>26</v>
      </c>
      <c r="C28" s="73">
        <v>26</v>
      </c>
      <c r="D28" s="73"/>
      <c r="E28" s="73"/>
      <c r="F28" s="73">
        <v>0.312</v>
      </c>
      <c r="G28" s="73">
        <v>0.5</v>
      </c>
      <c r="H28" s="73"/>
      <c r="I28" s="73">
        <v>0.375</v>
      </c>
      <c r="J28" s="73">
        <v>0.375</v>
      </c>
      <c r="K28" s="73"/>
      <c r="L28" s="73"/>
      <c r="M28" s="73">
        <v>0.5</v>
      </c>
      <c r="N28" s="73">
        <v>0.5</v>
      </c>
      <c r="O28" s="73"/>
      <c r="P28" s="73"/>
      <c r="Q28" s="73"/>
      <c r="R28" s="73"/>
      <c r="S28" s="73"/>
      <c r="T28" s="76"/>
      <c r="U28" s="70" t="s">
        <v>283</v>
      </c>
      <c r="AA28" s="75">
        <v>26</v>
      </c>
      <c r="AB28" s="73" t="str">
        <f t="shared" si="0"/>
        <v/>
      </c>
      <c r="AC28" s="73" t="str">
        <f t="shared" si="1"/>
        <v/>
      </c>
      <c r="AD28" s="73">
        <f t="shared" si="2"/>
        <v>10</v>
      </c>
      <c r="AE28" s="73">
        <f t="shared" si="3"/>
        <v>20</v>
      </c>
      <c r="AF28" s="73" t="str">
        <f t="shared" si="4"/>
        <v/>
      </c>
      <c r="AG28" s="73" t="str">
        <f t="shared" si="5"/>
        <v>40S</v>
      </c>
      <c r="AH28" s="73" t="str">
        <f t="shared" si="6"/>
        <v>STD</v>
      </c>
      <c r="AI28" s="73" t="str">
        <f t="shared" si="7"/>
        <v/>
      </c>
      <c r="AJ28" s="73" t="str">
        <f t="shared" si="8"/>
        <v/>
      </c>
      <c r="AK28" s="73" t="str">
        <f t="shared" si="9"/>
        <v>80S</v>
      </c>
      <c r="AL28" s="73" t="str">
        <f t="shared" si="10"/>
        <v>XS</v>
      </c>
      <c r="AM28" s="73" t="str">
        <f t="shared" si="11"/>
        <v/>
      </c>
      <c r="AN28" s="73" t="str">
        <f t="shared" si="12"/>
        <v/>
      </c>
      <c r="AO28" s="73" t="str">
        <f t="shared" si="13"/>
        <v/>
      </c>
      <c r="AP28" s="73" t="str">
        <f t="shared" si="14"/>
        <v/>
      </c>
      <c r="AQ28" s="73" t="str">
        <f t="shared" si="15"/>
        <v/>
      </c>
      <c r="AR28" s="76" t="str">
        <f t="shared" si="16"/>
        <v/>
      </c>
    </row>
    <row r="29" spans="2:50" ht="18" customHeight="1" x14ac:dyDescent="0.25">
      <c r="B29" s="75">
        <v>28</v>
      </c>
      <c r="C29" s="73">
        <v>28</v>
      </c>
      <c r="D29" s="73"/>
      <c r="E29" s="73"/>
      <c r="F29" s="73">
        <v>0.312</v>
      </c>
      <c r="G29" s="73">
        <v>0.5</v>
      </c>
      <c r="H29" s="73">
        <v>0.625</v>
      </c>
      <c r="I29" s="73">
        <v>0.375</v>
      </c>
      <c r="J29" s="73">
        <v>0.375</v>
      </c>
      <c r="K29" s="73"/>
      <c r="L29" s="73"/>
      <c r="M29" s="73"/>
      <c r="N29" s="73"/>
      <c r="O29" s="73"/>
      <c r="P29" s="73"/>
      <c r="Q29" s="73"/>
      <c r="R29" s="73"/>
      <c r="S29" s="73"/>
      <c r="T29" s="76"/>
      <c r="U29" s="70" t="s">
        <v>283</v>
      </c>
      <c r="AA29" s="75">
        <v>28</v>
      </c>
      <c r="AB29" s="73" t="str">
        <f t="shared" si="0"/>
        <v/>
      </c>
      <c r="AC29" s="73" t="str">
        <f t="shared" si="1"/>
        <v/>
      </c>
      <c r="AD29" s="73">
        <f t="shared" si="2"/>
        <v>10</v>
      </c>
      <c r="AE29" s="73">
        <f t="shared" si="3"/>
        <v>20</v>
      </c>
      <c r="AF29" s="73">
        <f t="shared" si="4"/>
        <v>30</v>
      </c>
      <c r="AG29" s="73" t="str">
        <f t="shared" si="5"/>
        <v>40S</v>
      </c>
      <c r="AH29" s="73" t="str">
        <f t="shared" si="6"/>
        <v>STD</v>
      </c>
      <c r="AI29" s="73" t="str">
        <f t="shared" si="7"/>
        <v/>
      </c>
      <c r="AJ29" s="73" t="str">
        <f t="shared" si="8"/>
        <v/>
      </c>
      <c r="AK29" s="73" t="str">
        <f t="shared" si="9"/>
        <v/>
      </c>
      <c r="AL29" s="73" t="str">
        <f t="shared" si="10"/>
        <v/>
      </c>
      <c r="AM29" s="73" t="str">
        <f t="shared" si="11"/>
        <v/>
      </c>
      <c r="AN29" s="73" t="str">
        <f t="shared" si="12"/>
        <v/>
      </c>
      <c r="AO29" s="73" t="str">
        <f t="shared" si="13"/>
        <v/>
      </c>
      <c r="AP29" s="73" t="str">
        <f t="shared" si="14"/>
        <v/>
      </c>
      <c r="AQ29" s="73" t="str">
        <f t="shared" si="15"/>
        <v/>
      </c>
      <c r="AR29" s="76" t="str">
        <f t="shared" si="16"/>
        <v/>
      </c>
    </row>
    <row r="30" spans="2:50" ht="18" customHeight="1" x14ac:dyDescent="0.25">
      <c r="B30" s="75">
        <v>30</v>
      </c>
      <c r="C30" s="73">
        <v>30</v>
      </c>
      <c r="D30" s="73"/>
      <c r="E30" s="73">
        <v>0.312</v>
      </c>
      <c r="F30" s="73">
        <v>0.312</v>
      </c>
      <c r="G30" s="73">
        <v>0.5</v>
      </c>
      <c r="H30" s="73">
        <v>0.625</v>
      </c>
      <c r="I30" s="73">
        <v>0.375</v>
      </c>
      <c r="J30" s="73">
        <v>0.375</v>
      </c>
      <c r="K30" s="73"/>
      <c r="L30" s="73"/>
      <c r="M30" s="73">
        <v>0.5</v>
      </c>
      <c r="N30" s="73">
        <v>0.5</v>
      </c>
      <c r="O30" s="73"/>
      <c r="P30" s="73"/>
      <c r="Q30" s="73"/>
      <c r="R30" s="73"/>
      <c r="S30" s="73"/>
      <c r="T30" s="76"/>
      <c r="U30" s="70" t="s">
        <v>283</v>
      </c>
      <c r="AA30" s="75">
        <v>30</v>
      </c>
      <c r="AB30" s="73" t="str">
        <f t="shared" si="0"/>
        <v/>
      </c>
      <c r="AC30" s="73" t="str">
        <f t="shared" si="1"/>
        <v>10S</v>
      </c>
      <c r="AD30" s="73">
        <f t="shared" si="2"/>
        <v>10</v>
      </c>
      <c r="AE30" s="73">
        <f t="shared" si="3"/>
        <v>20</v>
      </c>
      <c r="AF30" s="73">
        <f t="shared" si="4"/>
        <v>30</v>
      </c>
      <c r="AG30" s="73" t="str">
        <f t="shared" si="5"/>
        <v>40S</v>
      </c>
      <c r="AH30" s="73" t="str">
        <f t="shared" si="6"/>
        <v>STD</v>
      </c>
      <c r="AI30" s="73" t="str">
        <f t="shared" si="7"/>
        <v/>
      </c>
      <c r="AJ30" s="73" t="str">
        <f t="shared" si="8"/>
        <v/>
      </c>
      <c r="AK30" s="73" t="str">
        <f t="shared" si="9"/>
        <v>80S</v>
      </c>
      <c r="AL30" s="73" t="str">
        <f t="shared" si="10"/>
        <v>XS</v>
      </c>
      <c r="AM30" s="73" t="str">
        <f t="shared" si="11"/>
        <v/>
      </c>
      <c r="AN30" s="73" t="str">
        <f t="shared" si="12"/>
        <v/>
      </c>
      <c r="AO30" s="73" t="str">
        <f t="shared" si="13"/>
        <v/>
      </c>
      <c r="AP30" s="73" t="str">
        <f t="shared" si="14"/>
        <v/>
      </c>
      <c r="AQ30" s="73" t="str">
        <f t="shared" si="15"/>
        <v/>
      </c>
      <c r="AR30" s="76" t="str">
        <f t="shared" si="16"/>
        <v/>
      </c>
    </row>
    <row r="31" spans="2:50" ht="18" customHeight="1" x14ac:dyDescent="0.25">
      <c r="B31" s="75">
        <v>32</v>
      </c>
      <c r="C31" s="73">
        <v>32</v>
      </c>
      <c r="D31" s="73"/>
      <c r="E31" s="73"/>
      <c r="F31" s="73">
        <v>0.312</v>
      </c>
      <c r="G31" s="73">
        <v>0.5</v>
      </c>
      <c r="H31" s="73">
        <v>0.625</v>
      </c>
      <c r="I31" s="73">
        <v>0.375</v>
      </c>
      <c r="J31" s="73">
        <v>0.375</v>
      </c>
      <c r="K31" s="73">
        <v>0.68799999999999994</v>
      </c>
      <c r="L31" s="73"/>
      <c r="M31" s="73">
        <v>0.5</v>
      </c>
      <c r="N31" s="73">
        <v>0.5</v>
      </c>
      <c r="O31" s="73"/>
      <c r="P31" s="73"/>
      <c r="Q31" s="73"/>
      <c r="R31" s="73"/>
      <c r="S31" s="73"/>
      <c r="T31" s="76"/>
      <c r="U31" s="70" t="s">
        <v>283</v>
      </c>
      <c r="AA31" s="75">
        <v>32</v>
      </c>
      <c r="AB31" s="73" t="str">
        <f t="shared" si="0"/>
        <v/>
      </c>
      <c r="AC31" s="73" t="str">
        <f t="shared" si="1"/>
        <v/>
      </c>
      <c r="AD31" s="73">
        <f t="shared" si="2"/>
        <v>10</v>
      </c>
      <c r="AE31" s="73">
        <f t="shared" si="3"/>
        <v>20</v>
      </c>
      <c r="AF31" s="73">
        <f t="shared" si="4"/>
        <v>30</v>
      </c>
      <c r="AG31" s="73" t="str">
        <f t="shared" si="5"/>
        <v>40S</v>
      </c>
      <c r="AH31" s="73" t="str">
        <f t="shared" si="6"/>
        <v>STD</v>
      </c>
      <c r="AI31" s="73">
        <f t="shared" si="7"/>
        <v>40</v>
      </c>
      <c r="AJ31" s="73" t="str">
        <f t="shared" si="8"/>
        <v/>
      </c>
      <c r="AK31" s="73" t="str">
        <f t="shared" si="9"/>
        <v>80S</v>
      </c>
      <c r="AL31" s="73" t="str">
        <f t="shared" si="10"/>
        <v>XS</v>
      </c>
      <c r="AM31" s="73" t="str">
        <f t="shared" si="11"/>
        <v/>
      </c>
      <c r="AN31" s="73" t="str">
        <f t="shared" si="12"/>
        <v/>
      </c>
      <c r="AO31" s="73" t="str">
        <f t="shared" si="13"/>
        <v/>
      </c>
      <c r="AP31" s="73" t="str">
        <f t="shared" si="14"/>
        <v/>
      </c>
      <c r="AQ31" s="73" t="str">
        <f t="shared" si="15"/>
        <v/>
      </c>
      <c r="AR31" s="76" t="str">
        <f t="shared" si="16"/>
        <v/>
      </c>
    </row>
    <row r="32" spans="2:50" ht="18" customHeight="1" x14ac:dyDescent="0.25">
      <c r="B32" s="75">
        <v>34</v>
      </c>
      <c r="C32" s="73">
        <v>34</v>
      </c>
      <c r="D32" s="73"/>
      <c r="E32" s="73"/>
      <c r="F32" s="73">
        <v>0.312</v>
      </c>
      <c r="G32" s="73">
        <v>0.5</v>
      </c>
      <c r="H32" s="73">
        <v>0.625</v>
      </c>
      <c r="I32" s="73">
        <v>0.375</v>
      </c>
      <c r="J32" s="73">
        <v>0.375</v>
      </c>
      <c r="K32" s="73">
        <v>0.68799999999999994</v>
      </c>
      <c r="L32" s="73"/>
      <c r="M32" s="73">
        <v>0.5</v>
      </c>
      <c r="N32" s="73">
        <v>0.5</v>
      </c>
      <c r="O32" s="73"/>
      <c r="P32" s="73"/>
      <c r="Q32" s="73"/>
      <c r="R32" s="73"/>
      <c r="S32" s="73"/>
      <c r="T32" s="76"/>
      <c r="U32" s="70" t="s">
        <v>283</v>
      </c>
      <c r="AA32" s="75">
        <v>34</v>
      </c>
      <c r="AB32" s="73" t="str">
        <f t="shared" si="0"/>
        <v/>
      </c>
      <c r="AC32" s="73" t="str">
        <f t="shared" si="1"/>
        <v/>
      </c>
      <c r="AD32" s="73">
        <f t="shared" si="2"/>
        <v>10</v>
      </c>
      <c r="AE32" s="73">
        <f t="shared" si="3"/>
        <v>20</v>
      </c>
      <c r="AF32" s="73">
        <f t="shared" si="4"/>
        <v>30</v>
      </c>
      <c r="AG32" s="73" t="str">
        <f t="shared" si="5"/>
        <v>40S</v>
      </c>
      <c r="AH32" s="73" t="str">
        <f t="shared" si="6"/>
        <v>STD</v>
      </c>
      <c r="AI32" s="73">
        <f t="shared" si="7"/>
        <v>40</v>
      </c>
      <c r="AJ32" s="73" t="str">
        <f t="shared" si="8"/>
        <v/>
      </c>
      <c r="AK32" s="73" t="str">
        <f t="shared" si="9"/>
        <v>80S</v>
      </c>
      <c r="AL32" s="73" t="str">
        <f t="shared" si="10"/>
        <v>XS</v>
      </c>
      <c r="AM32" s="73" t="str">
        <f t="shared" si="11"/>
        <v/>
      </c>
      <c r="AN32" s="73" t="str">
        <f t="shared" si="12"/>
        <v/>
      </c>
      <c r="AO32" s="73" t="str">
        <f t="shared" si="13"/>
        <v/>
      </c>
      <c r="AP32" s="73" t="str">
        <f t="shared" si="14"/>
        <v/>
      </c>
      <c r="AQ32" s="73" t="str">
        <f t="shared" si="15"/>
        <v/>
      </c>
      <c r="AR32" s="76" t="str">
        <f t="shared" si="16"/>
        <v/>
      </c>
    </row>
    <row r="33" spans="2:44" ht="18" customHeight="1" x14ac:dyDescent="0.25">
      <c r="B33" s="75">
        <v>36</v>
      </c>
      <c r="C33" s="73">
        <v>36</v>
      </c>
      <c r="D33" s="73"/>
      <c r="E33" s="73"/>
      <c r="F33" s="73">
        <v>0.312</v>
      </c>
      <c r="G33" s="73">
        <v>0.5</v>
      </c>
      <c r="H33" s="73">
        <v>0.625</v>
      </c>
      <c r="I33" s="73">
        <v>0.375</v>
      </c>
      <c r="J33" s="73">
        <v>0.375</v>
      </c>
      <c r="K33" s="73">
        <v>0.75</v>
      </c>
      <c r="L33" s="73"/>
      <c r="M33" s="73">
        <v>0.5</v>
      </c>
      <c r="N33" s="73">
        <v>0.5</v>
      </c>
      <c r="O33" s="73"/>
      <c r="P33" s="73"/>
      <c r="Q33" s="73"/>
      <c r="R33" s="73"/>
      <c r="S33" s="73"/>
      <c r="T33" s="76"/>
      <c r="U33" s="70" t="s">
        <v>283</v>
      </c>
      <c r="AA33" s="75">
        <v>36</v>
      </c>
      <c r="AB33" s="73" t="str">
        <f t="shared" si="0"/>
        <v/>
      </c>
      <c r="AC33" s="73" t="str">
        <f t="shared" si="1"/>
        <v/>
      </c>
      <c r="AD33" s="73">
        <f t="shared" si="2"/>
        <v>10</v>
      </c>
      <c r="AE33" s="73">
        <f t="shared" si="3"/>
        <v>20</v>
      </c>
      <c r="AF33" s="73">
        <f t="shared" si="4"/>
        <v>30</v>
      </c>
      <c r="AG33" s="73" t="str">
        <f t="shared" si="5"/>
        <v>40S</v>
      </c>
      <c r="AH33" s="73" t="str">
        <f t="shared" si="6"/>
        <v>STD</v>
      </c>
      <c r="AI33" s="73">
        <f t="shared" si="7"/>
        <v>40</v>
      </c>
      <c r="AJ33" s="73" t="str">
        <f t="shared" si="8"/>
        <v/>
      </c>
      <c r="AK33" s="73" t="str">
        <f t="shared" si="9"/>
        <v>80S</v>
      </c>
      <c r="AL33" s="73" t="str">
        <f t="shared" si="10"/>
        <v>XS</v>
      </c>
      <c r="AM33" s="73" t="str">
        <f t="shared" si="11"/>
        <v/>
      </c>
      <c r="AN33" s="73" t="str">
        <f t="shared" si="12"/>
        <v/>
      </c>
      <c r="AO33" s="73" t="str">
        <f t="shared" si="13"/>
        <v/>
      </c>
      <c r="AP33" s="73" t="str">
        <f t="shared" si="14"/>
        <v/>
      </c>
      <c r="AQ33" s="73" t="str">
        <f t="shared" si="15"/>
        <v/>
      </c>
      <c r="AR33" s="76" t="str">
        <f t="shared" si="16"/>
        <v/>
      </c>
    </row>
    <row r="34" spans="2:44" ht="18" customHeight="1" x14ac:dyDescent="0.25">
      <c r="B34" s="75">
        <v>42</v>
      </c>
      <c r="C34" s="73">
        <v>42</v>
      </c>
      <c r="D34" s="73"/>
      <c r="E34" s="73"/>
      <c r="F34" s="73">
        <v>0.313</v>
      </c>
      <c r="G34" s="73">
        <v>0.5</v>
      </c>
      <c r="H34" s="73"/>
      <c r="I34" s="73">
        <v>0.375</v>
      </c>
      <c r="J34" s="73">
        <v>0.375</v>
      </c>
      <c r="K34" s="73"/>
      <c r="L34" s="73"/>
      <c r="M34" s="73">
        <v>0.5</v>
      </c>
      <c r="N34" s="73">
        <v>0.5</v>
      </c>
      <c r="O34" s="73"/>
      <c r="P34" s="73"/>
      <c r="Q34" s="73"/>
      <c r="R34" s="73"/>
      <c r="S34" s="73"/>
      <c r="T34" s="76"/>
      <c r="U34" s="70" t="s">
        <v>283</v>
      </c>
      <c r="AA34" s="75">
        <v>42</v>
      </c>
      <c r="AB34" s="73" t="str">
        <f t="shared" si="0"/>
        <v/>
      </c>
      <c r="AC34" s="73" t="str">
        <f t="shared" si="1"/>
        <v/>
      </c>
      <c r="AD34" s="73">
        <f t="shared" si="2"/>
        <v>10</v>
      </c>
      <c r="AE34" s="73">
        <f t="shared" si="3"/>
        <v>20</v>
      </c>
      <c r="AF34" s="73" t="str">
        <f t="shared" si="4"/>
        <v/>
      </c>
      <c r="AG34" s="73" t="str">
        <f t="shared" si="5"/>
        <v>40S</v>
      </c>
      <c r="AH34" s="73" t="str">
        <f t="shared" si="6"/>
        <v>STD</v>
      </c>
      <c r="AI34" s="73" t="str">
        <f t="shared" si="7"/>
        <v/>
      </c>
      <c r="AJ34" s="73" t="str">
        <f t="shared" si="8"/>
        <v/>
      </c>
      <c r="AK34" s="73" t="str">
        <f t="shared" si="9"/>
        <v>80S</v>
      </c>
      <c r="AL34" s="73" t="str">
        <f t="shared" si="10"/>
        <v>XS</v>
      </c>
      <c r="AM34" s="73" t="str">
        <f t="shared" si="11"/>
        <v/>
      </c>
      <c r="AN34" s="73" t="str">
        <f t="shared" si="12"/>
        <v/>
      </c>
      <c r="AO34" s="73" t="str">
        <f t="shared" si="13"/>
        <v/>
      </c>
      <c r="AP34" s="73" t="str">
        <f t="shared" si="14"/>
        <v/>
      </c>
      <c r="AQ34" s="73" t="str">
        <f t="shared" si="15"/>
        <v/>
      </c>
      <c r="AR34" s="76" t="str">
        <f t="shared" si="16"/>
        <v/>
      </c>
    </row>
    <row r="35" spans="2:44" ht="18" customHeight="1" x14ac:dyDescent="0.25">
      <c r="B35" s="75">
        <v>48</v>
      </c>
      <c r="C35" s="73">
        <v>48</v>
      </c>
      <c r="D35" s="73"/>
      <c r="E35" s="73"/>
      <c r="F35" s="73"/>
      <c r="G35" s="73"/>
      <c r="H35" s="73"/>
      <c r="I35" s="73">
        <v>0.375</v>
      </c>
      <c r="J35" s="73">
        <v>0.375</v>
      </c>
      <c r="K35" s="73"/>
      <c r="L35" s="73"/>
      <c r="M35" s="73">
        <v>0.5</v>
      </c>
      <c r="N35" s="73">
        <v>0.5</v>
      </c>
      <c r="O35" s="73"/>
      <c r="P35" s="73"/>
      <c r="Q35" s="73"/>
      <c r="R35" s="73"/>
      <c r="S35" s="73"/>
      <c r="T35" s="76"/>
      <c r="U35" s="70" t="s">
        <v>283</v>
      </c>
      <c r="AA35" s="75">
        <v>48</v>
      </c>
      <c r="AB35" s="73" t="str">
        <f t="shared" si="0"/>
        <v/>
      </c>
      <c r="AC35" s="73" t="str">
        <f t="shared" si="1"/>
        <v/>
      </c>
      <c r="AD35" s="73" t="str">
        <f t="shared" si="2"/>
        <v/>
      </c>
      <c r="AE35" s="73" t="str">
        <f t="shared" si="3"/>
        <v/>
      </c>
      <c r="AF35" s="73" t="str">
        <f t="shared" si="4"/>
        <v/>
      </c>
      <c r="AG35" s="73" t="str">
        <f t="shared" si="5"/>
        <v>40S</v>
      </c>
      <c r="AH35" s="73" t="str">
        <f t="shared" si="6"/>
        <v>STD</v>
      </c>
      <c r="AI35" s="73" t="str">
        <f t="shared" si="7"/>
        <v/>
      </c>
      <c r="AJ35" s="73" t="str">
        <f t="shared" si="8"/>
        <v/>
      </c>
      <c r="AK35" s="73" t="str">
        <f t="shared" si="9"/>
        <v>80S</v>
      </c>
      <c r="AL35" s="73" t="str">
        <f t="shared" si="10"/>
        <v>XS</v>
      </c>
      <c r="AM35" s="73" t="str">
        <f t="shared" si="11"/>
        <v/>
      </c>
      <c r="AN35" s="73" t="str">
        <f t="shared" si="12"/>
        <v/>
      </c>
      <c r="AO35" s="73" t="str">
        <f t="shared" si="13"/>
        <v/>
      </c>
      <c r="AP35" s="73" t="str">
        <f t="shared" si="14"/>
        <v/>
      </c>
      <c r="AQ35" s="73" t="str">
        <f t="shared" si="15"/>
        <v/>
      </c>
      <c r="AR35" s="76" t="str">
        <f t="shared" si="16"/>
        <v/>
      </c>
    </row>
    <row r="36" spans="2:44" ht="18" customHeight="1" x14ac:dyDescent="0.25">
      <c r="U36" s="70" t="s">
        <v>283</v>
      </c>
    </row>
  </sheetData>
  <mergeCells count="3">
    <mergeCell ref="D2:T2"/>
    <mergeCell ref="AB2:AR2"/>
    <mergeCell ref="AU3:AX3"/>
  </mergeCells>
  <phoneticPr fontId="39" type="noConversion"/>
  <dataValidations disablePrompts="1" count="1">
    <dataValidation type="list" allowBlank="1" showInputMessage="1" showErrorMessage="1" sqref="AZ5">
      <formula1>Schedule</formula1>
    </dataValidation>
  </dataValidations>
  <pageMargins left="0.7" right="0.7" top="0.75" bottom="0.75" header="0.3" footer="0.3"/>
  <pageSetup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9"/>
  <sheetViews>
    <sheetView workbookViewId="0">
      <selection activeCell="F29" sqref="F29"/>
    </sheetView>
  </sheetViews>
  <sheetFormatPr defaultRowHeight="12.5" x14ac:dyDescent="0.25"/>
  <cols>
    <col min="1" max="1" width="2.54296875" customWidth="1"/>
    <col min="2" max="2" width="21" customWidth="1"/>
    <col min="5" max="5" width="4.54296875" customWidth="1"/>
    <col min="6" max="6" width="20.54296875" customWidth="1"/>
  </cols>
  <sheetData>
    <row r="1" spans="1:10" ht="18" x14ac:dyDescent="0.4">
      <c r="B1" s="6" t="s">
        <v>140</v>
      </c>
    </row>
    <row r="2" spans="1:10" s="2" customFormat="1" x14ac:dyDescent="0.25">
      <c r="B2" s="9" t="s">
        <v>93</v>
      </c>
      <c r="D2" s="9" t="s">
        <v>94</v>
      </c>
    </row>
    <row r="3" spans="1:10" s="2" customFormat="1" ht="13" x14ac:dyDescent="0.3">
      <c r="B3" s="9" t="s">
        <v>95</v>
      </c>
      <c r="D3" s="9" t="s">
        <v>38</v>
      </c>
      <c r="H3" s="1"/>
      <c r="I3" s="1"/>
    </row>
    <row r="4" spans="1:10" ht="13" x14ac:dyDescent="0.3">
      <c r="B4" s="26" t="s">
        <v>96</v>
      </c>
      <c r="D4" s="9" t="s">
        <v>32</v>
      </c>
      <c r="H4" s="1"/>
      <c r="I4" s="1"/>
      <c r="J4" s="2"/>
    </row>
    <row r="5" spans="1:10" ht="13" x14ac:dyDescent="0.3">
      <c r="B5" s="27"/>
      <c r="H5" s="1"/>
      <c r="I5" s="1"/>
      <c r="J5" s="2"/>
    </row>
    <row r="6" spans="1:10" ht="13" x14ac:dyDescent="0.3">
      <c r="B6" s="28" t="s">
        <v>97</v>
      </c>
      <c r="C6" s="23"/>
      <c r="D6" s="23"/>
      <c r="E6" s="23"/>
      <c r="F6" s="28" t="s">
        <v>98</v>
      </c>
      <c r="G6" s="23"/>
      <c r="H6" s="23"/>
    </row>
    <row r="7" spans="1:10" ht="13" x14ac:dyDescent="0.3">
      <c r="A7" s="7"/>
      <c r="B7" s="35" t="s">
        <v>1</v>
      </c>
      <c r="C7" s="36">
        <v>50</v>
      </c>
      <c r="D7" s="37" t="s">
        <v>136</v>
      </c>
      <c r="E7" s="23"/>
      <c r="F7" s="35" t="s">
        <v>8</v>
      </c>
      <c r="G7" s="39">
        <v>12.57</v>
      </c>
      <c r="H7" s="37" t="s">
        <v>135</v>
      </c>
      <c r="I7" s="7"/>
    </row>
    <row r="8" spans="1:10" x14ac:dyDescent="0.25">
      <c r="A8" s="7"/>
      <c r="B8" s="3" t="s">
        <v>10</v>
      </c>
      <c r="C8" s="29">
        <f>psat_t(C7)</f>
        <v>0.17813301000769874</v>
      </c>
      <c r="D8" s="5" t="s">
        <v>135</v>
      </c>
      <c r="E8" s="23"/>
      <c r="F8" s="3" t="s">
        <v>9</v>
      </c>
      <c r="G8" s="30">
        <f>Tsat_p(G7)</f>
        <v>204.17777791927469</v>
      </c>
      <c r="H8" s="5" t="s">
        <v>136</v>
      </c>
      <c r="I8" s="7"/>
    </row>
    <row r="9" spans="1:10" ht="13" x14ac:dyDescent="0.3">
      <c r="A9" s="7"/>
      <c r="B9" s="4" t="s">
        <v>99</v>
      </c>
      <c r="C9" s="7"/>
      <c r="D9" s="5"/>
      <c r="F9" s="4" t="s">
        <v>99</v>
      </c>
      <c r="G9" s="7"/>
      <c r="H9" s="5"/>
      <c r="I9" s="7"/>
    </row>
    <row r="10" spans="1:10" x14ac:dyDescent="0.25">
      <c r="A10" s="7"/>
      <c r="B10" s="3" t="s">
        <v>0</v>
      </c>
      <c r="C10" s="31">
        <f>hL_T(C7)</f>
        <v>18.065816271919097</v>
      </c>
      <c r="D10" s="5" t="s">
        <v>137</v>
      </c>
      <c r="E10" s="23"/>
      <c r="F10" s="3" t="s">
        <v>0</v>
      </c>
      <c r="G10" s="31">
        <f>hL_p(G7)</f>
        <v>172.30242549737997</v>
      </c>
      <c r="H10" s="5" t="s">
        <v>137</v>
      </c>
      <c r="I10" s="7"/>
    </row>
    <row r="11" spans="1:10" x14ac:dyDescent="0.25">
      <c r="A11" s="7"/>
      <c r="B11" s="3" t="s">
        <v>3</v>
      </c>
      <c r="C11" s="30">
        <f>rhoL_T(C7)</f>
        <v>62.406342618778162</v>
      </c>
      <c r="D11" s="5" t="s">
        <v>138</v>
      </c>
      <c r="E11" s="23"/>
      <c r="F11" s="3" t="s">
        <v>3</v>
      </c>
      <c r="G11" s="30">
        <f>rhoL_P(G7)</f>
        <v>60.020209137088131</v>
      </c>
      <c r="H11" s="5" t="s">
        <v>138</v>
      </c>
      <c r="I11" s="7"/>
    </row>
    <row r="12" spans="1:10" x14ac:dyDescent="0.25">
      <c r="A12" s="7"/>
      <c r="B12" s="3" t="s">
        <v>100</v>
      </c>
      <c r="C12" s="30">
        <f>sL_T(C7)</f>
        <v>3.6086052903275448E-2</v>
      </c>
      <c r="D12" s="5" t="s">
        <v>139</v>
      </c>
      <c r="E12" s="23"/>
      <c r="F12" s="3" t="s">
        <v>100</v>
      </c>
      <c r="G12" s="30">
        <f>sL_p(G7)</f>
        <v>0.30038744224357444</v>
      </c>
      <c r="H12" s="5" t="s">
        <v>139</v>
      </c>
      <c r="I12" s="7"/>
    </row>
    <row r="13" spans="1:10" ht="13" x14ac:dyDescent="0.3">
      <c r="A13" s="7"/>
      <c r="B13" s="32" t="s">
        <v>101</v>
      </c>
      <c r="C13" s="7"/>
      <c r="D13" s="5"/>
      <c r="F13" s="32" t="s">
        <v>101</v>
      </c>
      <c r="G13" s="7"/>
      <c r="H13" s="5"/>
      <c r="I13" s="7"/>
    </row>
    <row r="14" spans="1:10" x14ac:dyDescent="0.25">
      <c r="A14" s="7"/>
      <c r="B14" s="3" t="s">
        <v>102</v>
      </c>
      <c r="C14" s="31">
        <f>hV_T(C7)</f>
        <v>1083.0738774464417</v>
      </c>
      <c r="D14" s="5" t="s">
        <v>137</v>
      </c>
      <c r="E14" s="23"/>
      <c r="F14" s="3" t="s">
        <v>102</v>
      </c>
      <c r="G14" s="31">
        <f>hV_p(G7)</f>
        <v>1147.318490880599</v>
      </c>
      <c r="H14" s="5" t="s">
        <v>137</v>
      </c>
      <c r="I14" s="7"/>
    </row>
    <row r="15" spans="1:10" x14ac:dyDescent="0.25">
      <c r="A15" s="7"/>
      <c r="B15" s="3" t="s">
        <v>103</v>
      </c>
      <c r="C15" s="30">
        <f>rhoV_T(C7)</f>
        <v>5.8723286456754725E-4</v>
      </c>
      <c r="D15" s="5" t="s">
        <v>138</v>
      </c>
      <c r="E15" s="23"/>
      <c r="F15" s="3" t="s">
        <v>103</v>
      </c>
      <c r="G15" s="30">
        <f>rhoV_p(G7)</f>
        <v>3.2235542163525463E-2</v>
      </c>
      <c r="H15" s="5" t="s">
        <v>138</v>
      </c>
      <c r="I15" s="7"/>
    </row>
    <row r="16" spans="1:10" x14ac:dyDescent="0.25">
      <c r="A16" s="7"/>
      <c r="B16" s="3" t="s">
        <v>104</v>
      </c>
      <c r="C16" s="30">
        <f>sV_T(C7)</f>
        <v>2.1256916787390598</v>
      </c>
      <c r="D16" s="5" t="s">
        <v>139</v>
      </c>
      <c r="E16" s="23"/>
      <c r="F16" s="3" t="s">
        <v>105</v>
      </c>
      <c r="G16" s="30">
        <f>sV_p(G7)</f>
        <v>1.7691143714675075</v>
      </c>
      <c r="H16" s="5" t="s">
        <v>139</v>
      </c>
      <c r="I16" s="7"/>
    </row>
    <row r="17" spans="1:9" x14ac:dyDescent="0.25">
      <c r="A17" s="7"/>
      <c r="B17" s="19" t="s">
        <v>106</v>
      </c>
      <c r="C17" s="33">
        <f>C14-C10</f>
        <v>1065.0080611745225</v>
      </c>
      <c r="D17" s="21" t="s">
        <v>137</v>
      </c>
      <c r="E17" s="23"/>
      <c r="F17" s="19" t="s">
        <v>106</v>
      </c>
      <c r="G17" s="33">
        <f>G14-G10</f>
        <v>975.01606538321903</v>
      </c>
      <c r="H17" s="21" t="s">
        <v>137</v>
      </c>
      <c r="I17" s="7"/>
    </row>
    <row r="18" spans="1:9" x14ac:dyDescent="0.25">
      <c r="A18" s="7"/>
      <c r="I18" s="7"/>
    </row>
    <row r="19" spans="1:9" ht="13" x14ac:dyDescent="0.3">
      <c r="A19" s="7"/>
      <c r="B19" s="28" t="s">
        <v>107</v>
      </c>
      <c r="C19" s="23"/>
      <c r="D19" s="23"/>
      <c r="E19" s="23"/>
      <c r="F19" s="28" t="s">
        <v>108</v>
      </c>
      <c r="G19" s="23"/>
      <c r="H19" s="23"/>
      <c r="I19" s="7"/>
    </row>
    <row r="20" spans="1:9" ht="13" x14ac:dyDescent="0.3">
      <c r="A20" s="7"/>
      <c r="B20" s="35" t="s">
        <v>8</v>
      </c>
      <c r="C20" s="36">
        <v>100</v>
      </c>
      <c r="D20" s="37" t="s">
        <v>135</v>
      </c>
      <c r="E20" s="23"/>
      <c r="F20" s="35" t="s">
        <v>8</v>
      </c>
      <c r="G20" s="36">
        <v>12.57</v>
      </c>
      <c r="H20" s="37" t="s">
        <v>135</v>
      </c>
      <c r="I20" s="7"/>
    </row>
    <row r="21" spans="1:9" ht="13" x14ac:dyDescent="0.3">
      <c r="A21" s="7"/>
      <c r="B21" s="17" t="s">
        <v>1</v>
      </c>
      <c r="C21" s="38">
        <v>50</v>
      </c>
      <c r="D21" s="18" t="s">
        <v>136</v>
      </c>
      <c r="E21" s="7"/>
      <c r="F21" s="17" t="s">
        <v>0</v>
      </c>
      <c r="G21" s="38">
        <v>2788</v>
      </c>
      <c r="H21" s="18" t="s">
        <v>137</v>
      </c>
      <c r="I21" s="7"/>
    </row>
    <row r="22" spans="1:9" x14ac:dyDescent="0.25">
      <c r="A22" s="7"/>
      <c r="B22" s="3" t="s">
        <v>0</v>
      </c>
      <c r="C22" s="31">
        <f>h_pt(C20,C21)</f>
        <v>18.354327600849064</v>
      </c>
      <c r="D22" s="5" t="s">
        <v>137</v>
      </c>
      <c r="E22" s="7"/>
      <c r="F22" s="3" t="s">
        <v>1</v>
      </c>
      <c r="G22" s="31">
        <f>T_ph(G20,G21)</f>
        <v>3074.5707483291626</v>
      </c>
      <c r="H22" s="5" t="s">
        <v>136</v>
      </c>
      <c r="I22" s="7"/>
    </row>
    <row r="23" spans="1:9" x14ac:dyDescent="0.25">
      <c r="A23" s="7"/>
      <c r="B23" s="3" t="s">
        <v>3</v>
      </c>
      <c r="C23" s="30">
        <f>rho_pT(C20,C21)</f>
        <v>62.426859281115377</v>
      </c>
      <c r="D23" s="5" t="s">
        <v>138</v>
      </c>
      <c r="E23" s="7"/>
      <c r="F23" s="3" t="s">
        <v>3</v>
      </c>
      <c r="G23" s="30">
        <f>rho_ph(G20,G21)</f>
        <v>5.9703452166335897E-3</v>
      </c>
      <c r="H23" s="5" t="s">
        <v>138</v>
      </c>
      <c r="I23" s="7"/>
    </row>
    <row r="24" spans="1:9" x14ac:dyDescent="0.25">
      <c r="A24" s="7"/>
      <c r="B24" s="3" t="s">
        <v>100</v>
      </c>
      <c r="C24" s="30">
        <f>s_pT(C20,C21)</f>
        <v>3.6071463664522962E-2</v>
      </c>
      <c r="D24" s="5" t="s">
        <v>139</v>
      </c>
      <c r="E24" s="7"/>
      <c r="F24" s="3" t="s">
        <v>100</v>
      </c>
      <c r="G24" s="30">
        <f>s_ph(G20,G21)</f>
        <v>2.674276314249977</v>
      </c>
      <c r="H24" s="5" t="s">
        <v>139</v>
      </c>
      <c r="I24" s="7"/>
    </row>
    <row r="25" spans="1:9" x14ac:dyDescent="0.25">
      <c r="A25" s="7"/>
      <c r="B25" s="22" t="s">
        <v>28</v>
      </c>
      <c r="C25">
        <f>x_ph(C20,C22)*100</f>
        <v>0</v>
      </c>
      <c r="D25" s="24" t="s">
        <v>29</v>
      </c>
      <c r="F25" s="22" t="s">
        <v>28</v>
      </c>
      <c r="G25">
        <f>x_ph(G20,G21)*100</f>
        <v>100</v>
      </c>
      <c r="H25" s="24" t="s">
        <v>29</v>
      </c>
      <c r="I25" s="7"/>
    </row>
    <row r="26" spans="1:9" x14ac:dyDescent="0.25">
      <c r="A26" s="7"/>
      <c r="B26" s="3" t="s">
        <v>109</v>
      </c>
      <c r="C26" s="7">
        <f>region_pt(C20/10,C21+273.15)</f>
        <v>1</v>
      </c>
      <c r="D26" s="5"/>
      <c r="E26" s="7"/>
      <c r="F26" s="3" t="s">
        <v>109</v>
      </c>
      <c r="G26" s="7">
        <f>region_ph(G20/10,G21)</f>
        <v>2</v>
      </c>
      <c r="H26" s="5"/>
      <c r="I26" s="7"/>
    </row>
    <row r="27" spans="1:9" ht="13" x14ac:dyDescent="0.3">
      <c r="A27" s="7"/>
      <c r="B27" s="3" t="s">
        <v>110</v>
      </c>
      <c r="C27" s="34" t="str">
        <f>IF(C26=2,"Steam",IF(C26=1,"Liquid",IF(C26=4,"Mixture","")))</f>
        <v>Liquid</v>
      </c>
      <c r="D27" s="5"/>
      <c r="E27" s="7"/>
      <c r="F27" s="3" t="s">
        <v>110</v>
      </c>
      <c r="G27" s="34" t="str">
        <f>IF(G26=2,"Steam",IF(G26=1,"Liquid",IF(G26=4,"Mixture","")))</f>
        <v>Steam</v>
      </c>
      <c r="H27" s="5"/>
      <c r="I27" s="7"/>
    </row>
    <row r="28" spans="1:9" x14ac:dyDescent="0.25">
      <c r="B28" s="3" t="s">
        <v>111</v>
      </c>
      <c r="C28" s="7">
        <f>Cp_pT(C20,C21)</f>
        <v>1.0015340327424829</v>
      </c>
      <c r="D28" s="5" t="s">
        <v>139</v>
      </c>
      <c r="F28" s="3" t="s">
        <v>111</v>
      </c>
      <c r="G28" s="7">
        <f>Cp_ph(G20,G21)</f>
        <v>0.67524179335823475</v>
      </c>
      <c r="H28" s="5" t="s">
        <v>139</v>
      </c>
    </row>
    <row r="29" spans="1:9" x14ac:dyDescent="0.25">
      <c r="B29" s="19" t="s">
        <v>112</v>
      </c>
      <c r="C29" s="20">
        <f>w_pT(C20,C21)</f>
        <v>4752.2401977897171</v>
      </c>
      <c r="D29" s="21" t="s">
        <v>145</v>
      </c>
      <c r="F29" s="19" t="s">
        <v>112</v>
      </c>
      <c r="G29" s="20">
        <f>w_ph(G20,G21)</f>
        <v>3414.439143641735</v>
      </c>
      <c r="H29" s="21" t="s">
        <v>145</v>
      </c>
    </row>
  </sheetData>
  <phoneticPr fontId="0" type="noConversion"/>
  <hyperlinks>
    <hyperlink ref="B4" r:id="rId1"/>
  </hyperlinks>
  <pageMargins left="0.75" right="0.75" top="1" bottom="1" header="0.5" footer="0.5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outlinePr summaryBelow="0"/>
  </sheetPr>
  <dimension ref="A1:M152"/>
  <sheetViews>
    <sheetView topLeftCell="A11" workbookViewId="0">
      <selection activeCell="B36" sqref="B36"/>
    </sheetView>
  </sheetViews>
  <sheetFormatPr defaultRowHeight="13" outlineLevelRow="1" x14ac:dyDescent="0.3"/>
  <cols>
    <col min="1" max="1" width="11.54296875" customWidth="1"/>
    <col min="2" max="2" width="4.54296875" customWidth="1"/>
    <col min="3" max="3" width="7.54296875" customWidth="1"/>
    <col min="4" max="4" width="4.54296875" customWidth="1"/>
    <col min="5" max="5" width="8.453125" customWidth="1"/>
    <col min="6" max="6" width="10" style="1" customWidth="1"/>
    <col min="7" max="7" width="10.453125" style="1" customWidth="1"/>
    <col min="8" max="8" width="7.54296875" style="2" customWidth="1"/>
  </cols>
  <sheetData>
    <row r="1" spans="1:8" s="14" customFormat="1" ht="18" x14ac:dyDescent="0.4">
      <c r="A1" s="6" t="s">
        <v>39</v>
      </c>
      <c r="D1" s="2" t="s">
        <v>247</v>
      </c>
      <c r="E1" s="15" t="s">
        <v>40</v>
      </c>
      <c r="F1" s="6"/>
      <c r="G1" s="6"/>
    </row>
    <row r="2" spans="1:8" s="11" customFormat="1" ht="10.5" x14ac:dyDescent="0.25">
      <c r="A2" s="11" t="s">
        <v>41</v>
      </c>
    </row>
    <row r="3" spans="1:8" s="9" customFormat="1" ht="10" x14ac:dyDescent="0.2">
      <c r="A3" s="9" t="s">
        <v>90</v>
      </c>
    </row>
    <row r="4" spans="1:8" s="9" customFormat="1" ht="10" x14ac:dyDescent="0.2">
      <c r="A4" s="9" t="s">
        <v>91</v>
      </c>
      <c r="F4" s="16" t="s">
        <v>43</v>
      </c>
    </row>
    <row r="5" spans="1:8" s="9" customFormat="1" ht="10" x14ac:dyDescent="0.2">
      <c r="A5" s="9" t="s">
        <v>38</v>
      </c>
    </row>
    <row r="6" spans="1:8" ht="12.5" x14ac:dyDescent="0.25">
      <c r="A6" s="11" t="s">
        <v>32</v>
      </c>
      <c r="B6" s="2"/>
      <c r="C6" s="2"/>
      <c r="D6" s="2"/>
      <c r="E6" s="2"/>
      <c r="F6" s="2"/>
      <c r="G6" s="2"/>
    </row>
    <row r="7" spans="1:8" ht="12.5" x14ac:dyDescent="0.25">
      <c r="A7" s="11"/>
      <c r="B7" s="2"/>
      <c r="C7" s="2"/>
      <c r="D7" s="2"/>
      <c r="E7" s="2"/>
      <c r="F7" s="2"/>
      <c r="G7" s="2"/>
    </row>
    <row r="8" spans="1:8" s="13" customFormat="1" ht="15.5" x14ac:dyDescent="0.35">
      <c r="A8" s="25" t="s">
        <v>1</v>
      </c>
      <c r="F8" s="12"/>
      <c r="G8" s="12"/>
    </row>
    <row r="9" spans="1:8" s="9" customFormat="1" outlineLevel="1" x14ac:dyDescent="0.3">
      <c r="A9" s="1" t="s">
        <v>160</v>
      </c>
      <c r="B9" s="2">
        <v>14.503773799999999</v>
      </c>
      <c r="C9" s="2" t="s">
        <v>148</v>
      </c>
      <c r="D9" s="2"/>
      <c r="E9" s="2"/>
      <c r="F9" s="1">
        <f>Tsat_p(B9)</f>
        <v>211.2906535708841</v>
      </c>
      <c r="G9" s="1" t="s">
        <v>141</v>
      </c>
      <c r="H9" s="2" t="s">
        <v>9</v>
      </c>
    </row>
    <row r="10" spans="1:8" s="9" customFormat="1" outlineLevel="1" x14ac:dyDescent="0.3">
      <c r="A10" s="1" t="s">
        <v>152</v>
      </c>
      <c r="B10" s="2">
        <v>1</v>
      </c>
      <c r="C10" s="2" t="s">
        <v>148</v>
      </c>
      <c r="D10" s="2">
        <v>100</v>
      </c>
      <c r="E10" s="2" t="s">
        <v>137</v>
      </c>
      <c r="F10" s="1">
        <f>T_ph(B10,D10)</f>
        <v>101.69433722352896</v>
      </c>
      <c r="G10" s="1" t="s">
        <v>141</v>
      </c>
      <c r="H10" s="2" t="s">
        <v>33</v>
      </c>
    </row>
    <row r="11" spans="1:8" s="9" customFormat="1" outlineLevel="1" x14ac:dyDescent="0.3">
      <c r="A11" s="1" t="s">
        <v>153</v>
      </c>
      <c r="B11" s="2">
        <v>1</v>
      </c>
      <c r="C11" s="2" t="s">
        <v>148</v>
      </c>
      <c r="D11" s="2">
        <v>1</v>
      </c>
      <c r="E11" s="2" t="s">
        <v>139</v>
      </c>
      <c r="F11" s="1">
        <f>T_ps(B11,D11)</f>
        <v>101.69433722352896</v>
      </c>
      <c r="G11" s="1" t="s">
        <v>141</v>
      </c>
      <c r="H11" s="2" t="s">
        <v>34</v>
      </c>
    </row>
    <row r="12" spans="1:8" s="9" customFormat="1" outlineLevel="1" x14ac:dyDescent="0.3">
      <c r="A12" s="1" t="s">
        <v>154</v>
      </c>
      <c r="B12" s="2">
        <v>100</v>
      </c>
      <c r="C12" s="2" t="s">
        <v>137</v>
      </c>
      <c r="D12" s="2">
        <v>0.2</v>
      </c>
      <c r="E12" s="2" t="s">
        <v>139</v>
      </c>
      <c r="F12" s="1">
        <f>T_hs(B12,D12)</f>
        <v>40.712708761178419</v>
      </c>
      <c r="G12" s="1" t="s">
        <v>141</v>
      </c>
      <c r="H12" s="2" t="s">
        <v>46</v>
      </c>
    </row>
    <row r="13" spans="1:8" s="13" customFormat="1" ht="15.5" x14ac:dyDescent="0.35">
      <c r="A13" s="25" t="s">
        <v>8</v>
      </c>
      <c r="F13" s="12"/>
      <c r="G13" s="12"/>
    </row>
    <row r="14" spans="1:8" s="9" customFormat="1" outlineLevel="1" x14ac:dyDescent="0.3">
      <c r="A14" s="1" t="s">
        <v>158</v>
      </c>
      <c r="B14" s="2">
        <v>100</v>
      </c>
      <c r="C14" s="2" t="s">
        <v>141</v>
      </c>
      <c r="D14" s="2"/>
      <c r="E14" s="2"/>
      <c r="F14" s="1">
        <f>psat_t(B14)</f>
        <v>0.95043933077881249</v>
      </c>
      <c r="G14" s="1" t="s">
        <v>135</v>
      </c>
      <c r="H14" s="2" t="s">
        <v>10</v>
      </c>
    </row>
    <row r="15" spans="1:8" s="9" customFormat="1" outlineLevel="1" x14ac:dyDescent="0.3">
      <c r="A15" s="1" t="s">
        <v>155</v>
      </c>
      <c r="B15" s="2">
        <v>100</v>
      </c>
      <c r="C15" s="2" t="s">
        <v>137</v>
      </c>
      <c r="D15" s="2">
        <f>F49</f>
        <v>0.18512524760110738</v>
      </c>
      <c r="E15" s="2" t="s">
        <v>139</v>
      </c>
      <c r="F15" s="1">
        <f>p_hs(B15,D15)</f>
        <v>5.9882919074278274</v>
      </c>
      <c r="G15" s="1" t="s">
        <v>135</v>
      </c>
      <c r="H15" s="2" t="s">
        <v>42</v>
      </c>
    </row>
    <row r="16" spans="1:8" s="9" customFormat="1" outlineLevel="1" x14ac:dyDescent="0.3">
      <c r="A16" s="1" t="s">
        <v>156</v>
      </c>
      <c r="B16" s="2">
        <v>100</v>
      </c>
      <c r="C16" s="2" t="s">
        <v>137</v>
      </c>
      <c r="D16" s="2">
        <v>5</v>
      </c>
      <c r="E16" s="2" t="s">
        <v>143</v>
      </c>
      <c r="F16" s="1">
        <f>p_hrho(B16,D16)</f>
        <v>2.2737319182747444</v>
      </c>
      <c r="G16" s="1" t="s">
        <v>135</v>
      </c>
      <c r="H16" s="2" t="s">
        <v>119</v>
      </c>
    </row>
    <row r="17" spans="1:8" s="13" customFormat="1" ht="15.5" x14ac:dyDescent="0.35">
      <c r="A17" s="25" t="s">
        <v>0</v>
      </c>
      <c r="F17" s="12"/>
      <c r="G17" s="12"/>
    </row>
    <row r="18" spans="1:8" s="9" customFormat="1" outlineLevel="1" x14ac:dyDescent="0.3">
      <c r="A18" s="1" t="s">
        <v>162</v>
      </c>
      <c r="B18" s="2">
        <v>1</v>
      </c>
      <c r="C18" s="2" t="s">
        <v>148</v>
      </c>
      <c r="D18" s="2"/>
      <c r="E18" s="2"/>
      <c r="F18" s="1">
        <f>hV_p(B18)</f>
        <v>1105.4393386640004</v>
      </c>
      <c r="G18" s="1" t="s">
        <v>137</v>
      </c>
      <c r="H18" s="2" t="s">
        <v>12</v>
      </c>
    </row>
    <row r="19" spans="1:8" s="9" customFormat="1" outlineLevel="1" x14ac:dyDescent="0.3">
      <c r="A19" s="1" t="s">
        <v>164</v>
      </c>
      <c r="B19" s="2">
        <v>1</v>
      </c>
      <c r="C19" s="2" t="s">
        <v>148</v>
      </c>
      <c r="D19" s="2"/>
      <c r="E19" s="2"/>
      <c r="F19" s="1">
        <f>hL_p(B19)</f>
        <v>69.728239049354812</v>
      </c>
      <c r="G19" s="1" t="s">
        <v>137</v>
      </c>
      <c r="H19" s="2" t="s">
        <v>17</v>
      </c>
    </row>
    <row r="20" spans="1:8" s="9" customFormat="1" outlineLevel="1" x14ac:dyDescent="0.3">
      <c r="A20" s="1" t="s">
        <v>166</v>
      </c>
      <c r="B20" s="2">
        <v>100</v>
      </c>
      <c r="C20" s="2" t="s">
        <v>141</v>
      </c>
      <c r="D20" s="2"/>
      <c r="E20" s="2"/>
      <c r="F20" s="1">
        <f>hV_T(B20)</f>
        <v>1104.7148547166025</v>
      </c>
      <c r="G20" s="1" t="s">
        <v>137</v>
      </c>
      <c r="H20" s="2" t="s">
        <v>12</v>
      </c>
    </row>
    <row r="21" spans="1:8" s="9" customFormat="1" outlineLevel="1" x14ac:dyDescent="0.3">
      <c r="A21" s="1" t="s">
        <v>167</v>
      </c>
      <c r="B21" s="2">
        <v>100</v>
      </c>
      <c r="C21" s="2" t="s">
        <v>141</v>
      </c>
      <c r="D21" s="2"/>
      <c r="E21" s="2"/>
      <c r="F21" s="1">
        <f>hL_T(B21)</f>
        <v>68.036985639994001</v>
      </c>
      <c r="G21" s="1" t="s">
        <v>137</v>
      </c>
      <c r="H21" s="2" t="s">
        <v>17</v>
      </c>
    </row>
    <row r="22" spans="1:8" s="9" customFormat="1" outlineLevel="1" x14ac:dyDescent="0.3">
      <c r="A22" s="1" t="s">
        <v>157</v>
      </c>
      <c r="B22" s="2">
        <v>14.503773799999999</v>
      </c>
      <c r="C22" s="2" t="s">
        <v>148</v>
      </c>
      <c r="D22" s="2">
        <v>68</v>
      </c>
      <c r="E22" s="2" t="s">
        <v>141</v>
      </c>
      <c r="F22" s="1">
        <f>h_pt(B22,D22)</f>
        <v>36.11857745798283</v>
      </c>
      <c r="G22" s="1" t="s">
        <v>137</v>
      </c>
      <c r="H22" s="2" t="s">
        <v>35</v>
      </c>
    </row>
    <row r="23" spans="1:8" s="9" customFormat="1" outlineLevel="1" x14ac:dyDescent="0.3">
      <c r="A23" s="1" t="s">
        <v>159</v>
      </c>
      <c r="B23" s="2">
        <v>1</v>
      </c>
      <c r="C23" s="2" t="s">
        <v>148</v>
      </c>
      <c r="D23" s="2">
        <v>1</v>
      </c>
      <c r="E23" s="2" t="s">
        <v>139</v>
      </c>
      <c r="F23" s="1">
        <f>h_ps(B23,D23)</f>
        <v>556.63691364819874</v>
      </c>
      <c r="G23" s="1" t="s">
        <v>137</v>
      </c>
      <c r="H23" s="2" t="s">
        <v>36</v>
      </c>
    </row>
    <row r="24" spans="1:8" s="9" customFormat="1" outlineLevel="1" x14ac:dyDescent="0.3">
      <c r="A24" s="1" t="s">
        <v>161</v>
      </c>
      <c r="B24" s="2">
        <v>1</v>
      </c>
      <c r="C24" s="2" t="s">
        <v>148</v>
      </c>
      <c r="D24" s="2">
        <v>0.5</v>
      </c>
      <c r="E24" s="2"/>
      <c r="F24" s="1">
        <f>h_px(B24,D24)</f>
        <v>587.58378885667753</v>
      </c>
      <c r="G24" s="1" t="s">
        <v>137</v>
      </c>
      <c r="H24" s="2" t="s">
        <v>44</v>
      </c>
    </row>
    <row r="25" spans="1:8" s="9" customFormat="1" outlineLevel="1" x14ac:dyDescent="0.3">
      <c r="A25" s="1" t="s">
        <v>163</v>
      </c>
      <c r="B25" s="2">
        <v>100</v>
      </c>
      <c r="C25" s="2" t="s">
        <v>141</v>
      </c>
      <c r="D25" s="2">
        <v>0.5</v>
      </c>
      <c r="E25" s="2"/>
      <c r="F25" s="1">
        <f>h_tx(B25,D25)</f>
        <v>586.37592017829832</v>
      </c>
      <c r="G25" s="1" t="s">
        <v>137</v>
      </c>
      <c r="H25" s="2" t="s">
        <v>45</v>
      </c>
    </row>
    <row r="26" spans="1:8" s="9" customFormat="1" outlineLevel="1" x14ac:dyDescent="0.3">
      <c r="A26" s="1" t="s">
        <v>165</v>
      </c>
      <c r="B26" s="2">
        <v>1</v>
      </c>
      <c r="C26" s="2" t="s">
        <v>148</v>
      </c>
      <c r="D26" s="2">
        <v>2</v>
      </c>
      <c r="E26" s="2" t="s">
        <v>143</v>
      </c>
      <c r="F26" s="1">
        <f>h_prho(B26,D26)</f>
        <v>71.230953968579257</v>
      </c>
      <c r="G26" s="1" t="s">
        <v>137</v>
      </c>
      <c r="H26" s="2" t="s">
        <v>92</v>
      </c>
    </row>
    <row r="27" spans="1:8" s="13" customFormat="1" ht="15.5" x14ac:dyDescent="0.35">
      <c r="A27" s="25" t="s">
        <v>11</v>
      </c>
      <c r="F27" s="12"/>
      <c r="G27" s="12"/>
    </row>
    <row r="28" spans="1:8" s="9" customFormat="1" outlineLevel="1" x14ac:dyDescent="0.3">
      <c r="A28" s="1" t="s">
        <v>170</v>
      </c>
      <c r="B28" s="2">
        <v>1</v>
      </c>
      <c r="C28" s="2" t="s">
        <v>148</v>
      </c>
      <c r="D28" s="2"/>
      <c r="E28" s="2"/>
      <c r="F28" s="1">
        <f>vV_p(B28)</f>
        <v>333.50751891901803</v>
      </c>
      <c r="G28" s="1" t="s">
        <v>142</v>
      </c>
      <c r="H28" s="2" t="s">
        <v>13</v>
      </c>
    </row>
    <row r="29" spans="1:8" s="9" customFormat="1" outlineLevel="1" x14ac:dyDescent="0.3">
      <c r="A29" s="1" t="s">
        <v>172</v>
      </c>
      <c r="B29" s="2">
        <v>1</v>
      </c>
      <c r="C29" s="2" t="s">
        <v>148</v>
      </c>
      <c r="D29" s="2"/>
      <c r="E29" s="2"/>
      <c r="F29" s="1">
        <f>vL_p(B29)</f>
        <v>1.613681120860341E-2</v>
      </c>
      <c r="G29" s="1" t="s">
        <v>142</v>
      </c>
      <c r="H29" s="2" t="s">
        <v>18</v>
      </c>
    </row>
    <row r="30" spans="1:8" s="9" customFormat="1" outlineLevel="1" x14ac:dyDescent="0.3">
      <c r="A30" s="1" t="s">
        <v>173</v>
      </c>
      <c r="B30" s="2">
        <v>100</v>
      </c>
      <c r="C30" s="2" t="s">
        <v>141</v>
      </c>
      <c r="D30" s="2"/>
      <c r="E30" s="2"/>
      <c r="F30" s="1">
        <f>vV_T(B30)</f>
        <v>349.8695998974697</v>
      </c>
      <c r="G30" s="1" t="s">
        <v>142</v>
      </c>
      <c r="H30" s="2" t="s">
        <v>13</v>
      </c>
    </row>
    <row r="31" spans="1:8" s="9" customFormat="1" outlineLevel="1" x14ac:dyDescent="0.3">
      <c r="A31" s="1" t="s">
        <v>175</v>
      </c>
      <c r="B31" s="2">
        <v>100</v>
      </c>
      <c r="C31" s="2" t="s">
        <v>141</v>
      </c>
      <c r="D31" s="2"/>
      <c r="E31" s="2"/>
      <c r="F31" s="1">
        <f>vL_T(B31)</f>
        <v>1.6131174327003114E-2</v>
      </c>
      <c r="G31" s="1" t="s">
        <v>142</v>
      </c>
      <c r="H31" s="2" t="s">
        <v>18</v>
      </c>
    </row>
    <row r="32" spans="1:8" s="9" customFormat="1" outlineLevel="1" x14ac:dyDescent="0.3">
      <c r="A32" s="1" t="s">
        <v>168</v>
      </c>
      <c r="B32" s="2">
        <v>1</v>
      </c>
      <c r="C32" s="2" t="s">
        <v>148</v>
      </c>
      <c r="D32" s="2">
        <v>100</v>
      </c>
      <c r="E32" s="2" t="s">
        <v>141</v>
      </c>
      <c r="F32" s="1">
        <f>v_pT(B32,D32)</f>
        <v>1.6131171891217523E-2</v>
      </c>
      <c r="G32" s="1" t="s">
        <v>142</v>
      </c>
      <c r="H32" s="2" t="s">
        <v>47</v>
      </c>
    </row>
    <row r="33" spans="1:8" s="9" customFormat="1" outlineLevel="1" x14ac:dyDescent="0.3">
      <c r="A33" s="1" t="s">
        <v>169</v>
      </c>
      <c r="B33" s="2">
        <v>1</v>
      </c>
      <c r="C33" s="2" t="s">
        <v>148</v>
      </c>
      <c r="D33" s="2">
        <v>1000</v>
      </c>
      <c r="E33" s="2" t="s">
        <v>137</v>
      </c>
      <c r="F33" s="1">
        <f>v_ph(B33,D33)</f>
        <v>299.55682476050805</v>
      </c>
      <c r="G33" s="1" t="s">
        <v>142</v>
      </c>
      <c r="H33" s="2" t="s">
        <v>48</v>
      </c>
    </row>
    <row r="34" spans="1:8" s="9" customFormat="1" outlineLevel="1" x14ac:dyDescent="0.3">
      <c r="A34" s="1" t="s">
        <v>171</v>
      </c>
      <c r="B34" s="2">
        <v>10</v>
      </c>
      <c r="C34" s="2" t="s">
        <v>148</v>
      </c>
      <c r="D34" s="2">
        <f>F49</f>
        <v>0.18512524760110738</v>
      </c>
      <c r="E34" s="2" t="s">
        <v>139</v>
      </c>
      <c r="F34" s="1">
        <f>v_ps(B34,D34)</f>
        <v>1.6255423844855975E-2</v>
      </c>
      <c r="G34" s="1" t="s">
        <v>142</v>
      </c>
      <c r="H34" s="2" t="s">
        <v>49</v>
      </c>
    </row>
    <row r="35" spans="1:8" s="13" customFormat="1" ht="15.5" x14ac:dyDescent="0.35">
      <c r="A35" s="25" t="s">
        <v>3</v>
      </c>
      <c r="F35" s="12"/>
      <c r="G35" s="12"/>
    </row>
    <row r="36" spans="1:8" s="9" customFormat="1" outlineLevel="1" x14ac:dyDescent="0.3">
      <c r="A36" s="1" t="s">
        <v>178</v>
      </c>
      <c r="B36" s="2">
        <v>1</v>
      </c>
      <c r="C36" s="2" t="s">
        <v>148</v>
      </c>
      <c r="D36" s="2"/>
      <c r="E36" s="2"/>
      <c r="F36" s="1">
        <f>rhoV_p(B36)</f>
        <v>2.9984331484976777E-3</v>
      </c>
      <c r="G36" s="1" t="s">
        <v>143</v>
      </c>
      <c r="H36" s="2" t="s">
        <v>14</v>
      </c>
    </row>
    <row r="37" spans="1:8" s="9" customFormat="1" outlineLevel="1" x14ac:dyDescent="0.3">
      <c r="A37" s="1" t="s">
        <v>179</v>
      </c>
      <c r="B37" s="2">
        <v>1</v>
      </c>
      <c r="C37" s="2" t="s">
        <v>148</v>
      </c>
      <c r="D37" s="2"/>
      <c r="E37" s="2"/>
      <c r="F37" s="1">
        <f>rhoL_P(B37)</f>
        <v>61.970112128897298</v>
      </c>
      <c r="G37" s="1" t="s">
        <v>143</v>
      </c>
      <c r="H37" s="2" t="s">
        <v>19</v>
      </c>
    </row>
    <row r="38" spans="1:8" s="9" customFormat="1" outlineLevel="1" x14ac:dyDescent="0.3">
      <c r="A38" s="1" t="s">
        <v>181</v>
      </c>
      <c r="B38" s="2">
        <v>100</v>
      </c>
      <c r="C38" s="2" t="s">
        <v>141</v>
      </c>
      <c r="D38" s="2"/>
      <c r="E38" s="2"/>
      <c r="F38" s="1">
        <f>rhoV_T(B38)</f>
        <v>2.858207744522682E-3</v>
      </c>
      <c r="G38" s="1" t="s">
        <v>143</v>
      </c>
      <c r="H38" s="2" t="s">
        <v>14</v>
      </c>
    </row>
    <row r="39" spans="1:8" s="9" customFormat="1" outlineLevel="1" x14ac:dyDescent="0.3">
      <c r="A39" s="1" t="s">
        <v>183</v>
      </c>
      <c r="B39" s="2">
        <v>100</v>
      </c>
      <c r="C39" s="2" t="s">
        <v>141</v>
      </c>
      <c r="D39" s="2"/>
      <c r="E39" s="2"/>
      <c r="F39" s="1">
        <f>rhoL_T(B39)</f>
        <v>61.991766980413153</v>
      </c>
      <c r="G39" s="1" t="s">
        <v>143</v>
      </c>
      <c r="H39" s="2" t="s">
        <v>19</v>
      </c>
    </row>
    <row r="40" spans="1:8" s="9" customFormat="1" outlineLevel="1" x14ac:dyDescent="0.3">
      <c r="A40" s="1" t="s">
        <v>174</v>
      </c>
      <c r="B40" s="2">
        <v>1</v>
      </c>
      <c r="C40" s="2" t="s">
        <v>148</v>
      </c>
      <c r="D40" s="2">
        <v>100</v>
      </c>
      <c r="E40" s="2" t="s">
        <v>141</v>
      </c>
      <c r="F40" s="1">
        <f>rho_pT(B40,D40)</f>
        <v>61.991776341087863</v>
      </c>
      <c r="G40" s="1" t="s">
        <v>143</v>
      </c>
      <c r="H40" s="2" t="s">
        <v>50</v>
      </c>
    </row>
    <row r="41" spans="1:8" s="9" customFormat="1" outlineLevel="1" x14ac:dyDescent="0.3">
      <c r="A41" s="1" t="s">
        <v>176</v>
      </c>
      <c r="B41" s="2">
        <v>1</v>
      </c>
      <c r="C41" s="2" t="s">
        <v>148</v>
      </c>
      <c r="D41" s="2">
        <v>1000</v>
      </c>
      <c r="E41" s="2" t="s">
        <v>137</v>
      </c>
      <c r="F41" s="1">
        <f>rho_ph(B41,D41)</f>
        <v>3.3382647876558564E-3</v>
      </c>
      <c r="G41" s="1" t="s">
        <v>143</v>
      </c>
      <c r="H41" s="2" t="s">
        <v>51</v>
      </c>
    </row>
    <row r="42" spans="1:8" s="9" customFormat="1" outlineLevel="1" x14ac:dyDescent="0.3">
      <c r="A42" s="1" t="s">
        <v>177</v>
      </c>
      <c r="B42" s="2">
        <v>1</v>
      </c>
      <c r="C42" s="2" t="s">
        <v>148</v>
      </c>
      <c r="D42" s="2">
        <v>1</v>
      </c>
      <c r="E42" s="2" t="s">
        <v>139</v>
      </c>
      <c r="F42" s="1">
        <f>rho_ps(B42,D42)</f>
        <v>6.3776664978736569E-3</v>
      </c>
      <c r="G42" s="1" t="s">
        <v>143</v>
      </c>
      <c r="H42" s="2" t="s">
        <v>52</v>
      </c>
    </row>
    <row r="43" spans="1:8" s="13" customFormat="1" ht="15.5" x14ac:dyDescent="0.35">
      <c r="A43" s="25" t="s">
        <v>2</v>
      </c>
      <c r="F43" s="12"/>
      <c r="G43" s="12"/>
    </row>
    <row r="44" spans="1:8" s="9" customFormat="1" outlineLevel="1" x14ac:dyDescent="0.3">
      <c r="A44" s="1" t="s">
        <v>185</v>
      </c>
      <c r="B44" s="2">
        <v>1</v>
      </c>
      <c r="C44" s="2" t="s">
        <v>148</v>
      </c>
      <c r="D44" s="2"/>
      <c r="E44" s="2"/>
      <c r="F44" s="1">
        <f>sV_p(B44)</f>
        <v>1.9776246796445243</v>
      </c>
      <c r="G44" s="1" t="s">
        <v>139</v>
      </c>
      <c r="H44" s="2" t="s">
        <v>15</v>
      </c>
    </row>
    <row r="45" spans="1:8" s="9" customFormat="1" outlineLevel="1" x14ac:dyDescent="0.3">
      <c r="A45" s="1" t="s">
        <v>187</v>
      </c>
      <c r="B45" s="2">
        <v>1</v>
      </c>
      <c r="C45" s="2" t="s">
        <v>148</v>
      </c>
      <c r="D45" s="2"/>
      <c r="E45" s="2"/>
      <c r="F45" s="1">
        <f>sL_p(B45)</f>
        <v>0.13263149847209779</v>
      </c>
      <c r="G45" s="1" t="s">
        <v>139</v>
      </c>
      <c r="H45" s="2" t="s">
        <v>20</v>
      </c>
    </row>
    <row r="46" spans="1:8" s="9" customFormat="1" outlineLevel="1" x14ac:dyDescent="0.3">
      <c r="A46" s="1" t="s">
        <v>189</v>
      </c>
      <c r="B46" s="2">
        <v>50</v>
      </c>
      <c r="C46" s="2" t="s">
        <v>141</v>
      </c>
      <c r="D46" s="2"/>
      <c r="E46" s="2"/>
      <c r="F46" s="1">
        <f>sV_T(B46)</f>
        <v>2.1256916787390598</v>
      </c>
      <c r="G46" s="1" t="s">
        <v>139</v>
      </c>
      <c r="H46" s="2" t="s">
        <v>15</v>
      </c>
    </row>
    <row r="47" spans="1:8" s="9" customFormat="1" outlineLevel="1" x14ac:dyDescent="0.3">
      <c r="A47" s="1" t="s">
        <v>190</v>
      </c>
      <c r="B47" s="2">
        <v>100</v>
      </c>
      <c r="C47" s="2" t="s">
        <v>141</v>
      </c>
      <c r="D47" s="2"/>
      <c r="E47" s="2"/>
      <c r="F47" s="1">
        <f>sL_T(B47)</f>
        <v>0.12961445130558455</v>
      </c>
      <c r="G47" s="1" t="s">
        <v>139</v>
      </c>
      <c r="H47" s="2" t="s">
        <v>20</v>
      </c>
    </row>
    <row r="48" spans="1:8" s="9" customFormat="1" outlineLevel="1" x14ac:dyDescent="0.3">
      <c r="A48" s="1" t="s">
        <v>180</v>
      </c>
      <c r="B48" s="2">
        <v>1</v>
      </c>
      <c r="C48" s="2" t="s">
        <v>148</v>
      </c>
      <c r="D48" s="2">
        <v>50</v>
      </c>
      <c r="E48" s="2" t="s">
        <v>141</v>
      </c>
      <c r="F48" s="1">
        <f>s_pT(B48,D48)</f>
        <v>3.6085933900856779E-2</v>
      </c>
      <c r="G48" s="1" t="s">
        <v>139</v>
      </c>
      <c r="H48" s="2" t="s">
        <v>78</v>
      </c>
    </row>
    <row r="49" spans="1:8" s="9" customFormat="1" outlineLevel="1" x14ac:dyDescent="0.3">
      <c r="A49" s="1" t="s">
        <v>182</v>
      </c>
      <c r="B49" s="2">
        <v>10</v>
      </c>
      <c r="C49" s="2" t="s">
        <v>148</v>
      </c>
      <c r="D49" s="2">
        <v>100</v>
      </c>
      <c r="E49" s="2" t="s">
        <v>137</v>
      </c>
      <c r="F49" s="1">
        <f>s_ph(B49,D49)</f>
        <v>0.18512524760110738</v>
      </c>
      <c r="G49" s="1" t="s">
        <v>139</v>
      </c>
      <c r="H49" s="2" t="s">
        <v>53</v>
      </c>
    </row>
    <row r="50" spans="1:8" s="13" customFormat="1" ht="15.5" x14ac:dyDescent="0.35">
      <c r="A50" s="25" t="s">
        <v>4</v>
      </c>
      <c r="F50" s="12"/>
      <c r="G50" s="12"/>
    </row>
    <row r="51" spans="1:8" s="9" customFormat="1" outlineLevel="1" x14ac:dyDescent="0.3">
      <c r="A51" s="1" t="s">
        <v>193</v>
      </c>
      <c r="B51" s="2">
        <v>1</v>
      </c>
      <c r="C51" s="2" t="s">
        <v>148</v>
      </c>
      <c r="D51" s="2"/>
      <c r="E51" s="2"/>
      <c r="F51" s="1">
        <f>uV_p(B51)</f>
        <v>1043.7238674299194</v>
      </c>
      <c r="G51" s="1" t="s">
        <v>137</v>
      </c>
      <c r="H51" s="2" t="s">
        <v>16</v>
      </c>
    </row>
    <row r="52" spans="1:8" s="9" customFormat="1" outlineLevel="1" x14ac:dyDescent="0.3">
      <c r="A52" s="1" t="s">
        <v>195</v>
      </c>
      <c r="B52" s="2">
        <v>1</v>
      </c>
      <c r="C52" s="2" t="s">
        <v>148</v>
      </c>
      <c r="D52" s="2"/>
      <c r="E52" s="2"/>
      <c r="F52" s="1">
        <f>uL_p(B52)</f>
        <v>69.725252937044104</v>
      </c>
      <c r="G52" s="1" t="s">
        <v>137</v>
      </c>
      <c r="H52" s="2" t="s">
        <v>21</v>
      </c>
    </row>
    <row r="53" spans="1:8" s="9" customFormat="1" outlineLevel="1" x14ac:dyDescent="0.3">
      <c r="A53" s="1" t="s">
        <v>196</v>
      </c>
      <c r="B53" s="2">
        <v>100</v>
      </c>
      <c r="C53" s="2" t="s">
        <v>141</v>
      </c>
      <c r="D53" s="2"/>
      <c r="E53" s="2"/>
      <c r="F53" s="1">
        <f>uV_T(B53)</f>
        <v>1043.1803048366698</v>
      </c>
      <c r="G53" s="1" t="s">
        <v>137</v>
      </c>
      <c r="H53" s="2" t="s">
        <v>16</v>
      </c>
    </row>
    <row r="54" spans="1:8" s="9" customFormat="1" outlineLevel="1" x14ac:dyDescent="0.3">
      <c r="A54" s="1" t="s">
        <v>198</v>
      </c>
      <c r="B54" s="2">
        <v>100</v>
      </c>
      <c r="C54" s="2" t="s">
        <v>141</v>
      </c>
      <c r="D54" s="2"/>
      <c r="E54" s="2"/>
      <c r="F54" s="1">
        <f>uL_T(B54)</f>
        <v>68.034148512814212</v>
      </c>
      <c r="G54" s="1" t="s">
        <v>137</v>
      </c>
      <c r="H54" s="2" t="s">
        <v>21</v>
      </c>
    </row>
    <row r="55" spans="1:8" s="9" customFormat="1" outlineLevel="1" x14ac:dyDescent="0.3">
      <c r="A55" s="1" t="s">
        <v>184</v>
      </c>
      <c r="B55" s="2">
        <v>1</v>
      </c>
      <c r="C55" s="2" t="s">
        <v>148</v>
      </c>
      <c r="D55" s="2">
        <v>100</v>
      </c>
      <c r="E55" s="2" t="s">
        <v>141</v>
      </c>
      <c r="F55" s="1">
        <f>u_pT(B55,D55)</f>
        <v>68.034131602610202</v>
      </c>
      <c r="G55" s="1" t="s">
        <v>137</v>
      </c>
      <c r="H55" s="2" t="s">
        <v>54</v>
      </c>
    </row>
    <row r="56" spans="1:8" s="9" customFormat="1" outlineLevel="1" x14ac:dyDescent="0.3">
      <c r="A56" s="1" t="s">
        <v>186</v>
      </c>
      <c r="B56" s="2">
        <v>1</v>
      </c>
      <c r="C56" s="2" t="s">
        <v>148</v>
      </c>
      <c r="D56" s="2">
        <v>1000</v>
      </c>
      <c r="E56" s="2" t="s">
        <v>137</v>
      </c>
      <c r="F56" s="1">
        <f>u_ph(B56,D56)</f>
        <v>944.56709503461354</v>
      </c>
      <c r="G56" s="1" t="s">
        <v>137</v>
      </c>
      <c r="H56" s="2" t="s">
        <v>55</v>
      </c>
    </row>
    <row r="57" spans="1:8" s="9" customFormat="1" outlineLevel="1" x14ac:dyDescent="0.3">
      <c r="A57" s="1" t="s">
        <v>188</v>
      </c>
      <c r="B57" s="2">
        <v>1</v>
      </c>
      <c r="C57" s="2" t="s">
        <v>148</v>
      </c>
      <c r="D57" s="2">
        <v>1</v>
      </c>
      <c r="E57" s="2" t="s">
        <v>139</v>
      </c>
      <c r="F57" s="1">
        <f>u_ps(B57,D57)</f>
        <v>527.62164375518705</v>
      </c>
      <c r="G57" s="1" t="s">
        <v>137</v>
      </c>
      <c r="H57" s="2" t="s">
        <v>56</v>
      </c>
    </row>
    <row r="58" spans="1:8" s="13" customFormat="1" ht="15.5" x14ac:dyDescent="0.35">
      <c r="A58" s="25" t="s">
        <v>5</v>
      </c>
      <c r="F58" s="12"/>
      <c r="G58" s="12"/>
    </row>
    <row r="59" spans="1:8" s="9" customFormat="1" outlineLevel="1" x14ac:dyDescent="0.3">
      <c r="A59" s="1" t="s">
        <v>201</v>
      </c>
      <c r="B59" s="2">
        <v>1</v>
      </c>
      <c r="C59" s="2" t="s">
        <v>148</v>
      </c>
      <c r="D59" s="2"/>
      <c r="E59" s="2"/>
      <c r="F59" s="1">
        <f>CpV_p(B59)</f>
        <v>0.4610466176319381</v>
      </c>
      <c r="G59" s="1" t="s">
        <v>139</v>
      </c>
      <c r="H59" s="2" t="s">
        <v>23</v>
      </c>
    </row>
    <row r="60" spans="1:8" s="9" customFormat="1" outlineLevel="1" x14ac:dyDescent="0.3">
      <c r="A60" s="1" t="s">
        <v>202</v>
      </c>
      <c r="B60" s="2">
        <v>1</v>
      </c>
      <c r="C60" s="2" t="s">
        <v>148</v>
      </c>
      <c r="D60" s="2"/>
      <c r="E60" s="2"/>
      <c r="F60" s="1">
        <f>CpL_p(B60)</f>
        <v>0.99809613194003055</v>
      </c>
      <c r="G60" s="1" t="s">
        <v>139</v>
      </c>
      <c r="H60" s="2" t="s">
        <v>22</v>
      </c>
    </row>
    <row r="61" spans="1:8" s="9" customFormat="1" outlineLevel="1" x14ac:dyDescent="0.3">
      <c r="A61" s="1" t="s">
        <v>204</v>
      </c>
      <c r="B61" s="2">
        <v>100</v>
      </c>
      <c r="C61" s="2" t="s">
        <v>141</v>
      </c>
      <c r="D61" s="2"/>
      <c r="E61" s="2"/>
      <c r="F61" s="1">
        <f>CpV_T(B61)</f>
        <v>0.46071413521990223</v>
      </c>
      <c r="G61" s="1" t="s">
        <v>139</v>
      </c>
      <c r="H61" s="2" t="s">
        <v>23</v>
      </c>
    </row>
    <row r="62" spans="1:8" s="9" customFormat="1" outlineLevel="1" x14ac:dyDescent="0.3">
      <c r="A62" s="1" t="s">
        <v>206</v>
      </c>
      <c r="B62" s="2">
        <v>100</v>
      </c>
      <c r="C62" s="2" t="s">
        <v>141</v>
      </c>
      <c r="D62" s="2"/>
      <c r="E62" s="2"/>
      <c r="F62" s="1">
        <f>CpL_T(B62)</f>
        <v>0.9981101482481709</v>
      </c>
      <c r="G62" s="1" t="s">
        <v>139</v>
      </c>
      <c r="H62" s="2" t="s">
        <v>22</v>
      </c>
    </row>
    <row r="63" spans="1:8" s="9" customFormat="1" outlineLevel="1" x14ac:dyDescent="0.3">
      <c r="A63" s="1" t="s">
        <v>191</v>
      </c>
      <c r="B63" s="2">
        <v>1</v>
      </c>
      <c r="C63" s="2" t="s">
        <v>148</v>
      </c>
      <c r="D63" s="2">
        <v>100</v>
      </c>
      <c r="E63" s="2" t="s">
        <v>141</v>
      </c>
      <c r="F63" s="1">
        <f>Cp_pT(B63,D63)</f>
        <v>0.99810994311651391</v>
      </c>
      <c r="G63" s="1" t="s">
        <v>139</v>
      </c>
      <c r="H63" s="2" t="s">
        <v>57</v>
      </c>
    </row>
    <row r="64" spans="1:8" s="9" customFormat="1" outlineLevel="1" x14ac:dyDescent="0.3">
      <c r="A64" s="1" t="s">
        <v>192</v>
      </c>
      <c r="B64" s="2">
        <v>100</v>
      </c>
      <c r="C64" s="2" t="s">
        <v>148</v>
      </c>
      <c r="D64" s="2">
        <v>200</v>
      </c>
      <c r="E64" s="2" t="s">
        <v>137</v>
      </c>
      <c r="F64" s="1">
        <f>Cp_ph(B64,D64)</f>
        <v>1.010383515186803</v>
      </c>
      <c r="G64" s="1" t="s">
        <v>139</v>
      </c>
      <c r="H64" s="2" t="s">
        <v>58</v>
      </c>
    </row>
    <row r="65" spans="1:8" s="9" customFormat="1" outlineLevel="1" x14ac:dyDescent="0.3">
      <c r="A65" s="1" t="s">
        <v>194</v>
      </c>
      <c r="B65" s="2">
        <v>100</v>
      </c>
      <c r="C65" s="2" t="s">
        <v>148</v>
      </c>
      <c r="D65" s="2">
        <f>F49</f>
        <v>0.18512524760110738</v>
      </c>
      <c r="E65" s="2" t="s">
        <v>139</v>
      </c>
      <c r="F65" s="1">
        <f>Cp_ps(B65,D65)</f>
        <v>0.99831685085166899</v>
      </c>
      <c r="G65" s="1" t="s">
        <v>139</v>
      </c>
      <c r="H65" s="2" t="s">
        <v>59</v>
      </c>
    </row>
    <row r="66" spans="1:8" s="13" customFormat="1" ht="15.5" x14ac:dyDescent="0.35">
      <c r="A66" s="25" t="s">
        <v>7</v>
      </c>
      <c r="F66" s="12"/>
      <c r="G66" s="12"/>
    </row>
    <row r="67" spans="1:8" s="9" customFormat="1" outlineLevel="1" x14ac:dyDescent="0.3">
      <c r="A67" s="1" t="s">
        <v>208</v>
      </c>
      <c r="B67" s="2">
        <v>1</v>
      </c>
      <c r="C67" s="2" t="s">
        <v>148</v>
      </c>
      <c r="D67" s="2"/>
      <c r="E67" s="2"/>
      <c r="F67" s="1">
        <f>CvV_p(B67)</f>
        <v>0.3473815118397266</v>
      </c>
      <c r="G67" s="1" t="s">
        <v>139</v>
      </c>
      <c r="H67" s="2" t="s">
        <v>25</v>
      </c>
    </row>
    <row r="68" spans="1:8" s="9" customFormat="1" outlineLevel="1" x14ac:dyDescent="0.3">
      <c r="A68" s="1" t="s">
        <v>210</v>
      </c>
      <c r="B68" s="2">
        <v>1</v>
      </c>
      <c r="C68" s="2" t="s">
        <v>148</v>
      </c>
      <c r="D68" s="2"/>
      <c r="E68" s="2"/>
      <c r="F68" s="1">
        <f>CvL_p(B68)</f>
        <v>0.97419487072272337</v>
      </c>
      <c r="G68" s="1" t="s">
        <v>139</v>
      </c>
      <c r="H68" s="2" t="s">
        <v>24</v>
      </c>
    </row>
    <row r="69" spans="1:8" s="9" customFormat="1" outlineLevel="1" x14ac:dyDescent="0.3">
      <c r="A69" s="1" t="s">
        <v>212</v>
      </c>
      <c r="B69" s="2">
        <v>100</v>
      </c>
      <c r="C69" s="2" t="s">
        <v>141</v>
      </c>
      <c r="D69" s="2"/>
      <c r="E69" s="2"/>
      <c r="F69" s="1">
        <f>CvV_T(B69)</f>
        <v>0.3471349756795683</v>
      </c>
      <c r="G69" s="1" t="s">
        <v>139</v>
      </c>
      <c r="H69" s="2" t="s">
        <v>25</v>
      </c>
    </row>
    <row r="70" spans="1:8" s="9" customFormat="1" outlineLevel="1" x14ac:dyDescent="0.3">
      <c r="A70" s="1" t="s">
        <v>214</v>
      </c>
      <c r="B70" s="2">
        <v>100</v>
      </c>
      <c r="C70" s="2" t="s">
        <v>141</v>
      </c>
      <c r="D70" s="2"/>
      <c r="E70" s="2"/>
      <c r="F70" s="1">
        <f>CvL_T(B70)</f>
        <v>0.97523713984845961</v>
      </c>
      <c r="G70" s="1" t="s">
        <v>139</v>
      </c>
      <c r="H70" s="2" t="s">
        <v>24</v>
      </c>
    </row>
    <row r="71" spans="1:8" s="9" customFormat="1" outlineLevel="1" x14ac:dyDescent="0.3">
      <c r="A71" s="1" t="s">
        <v>197</v>
      </c>
      <c r="B71" s="2">
        <v>1</v>
      </c>
      <c r="C71" s="2" t="s">
        <v>148</v>
      </c>
      <c r="D71" s="2">
        <v>100</v>
      </c>
      <c r="E71" s="2" t="s">
        <v>141</v>
      </c>
      <c r="F71" s="1">
        <f>Cv_pT(B71,D71)</f>
        <v>0.97523690155523191</v>
      </c>
      <c r="G71" s="1" t="s">
        <v>139</v>
      </c>
      <c r="H71" s="2" t="s">
        <v>60</v>
      </c>
    </row>
    <row r="72" spans="1:8" s="9" customFormat="1" outlineLevel="1" x14ac:dyDescent="0.3">
      <c r="A72" s="1" t="s">
        <v>199</v>
      </c>
      <c r="B72" s="2">
        <v>100</v>
      </c>
      <c r="C72" s="2" t="s">
        <v>148</v>
      </c>
      <c r="D72" s="2">
        <v>200</v>
      </c>
      <c r="E72" s="2" t="s">
        <v>137</v>
      </c>
      <c r="F72" s="1">
        <f>Cv_ph(B72,D72)</f>
        <v>0.88674221718338608</v>
      </c>
      <c r="G72" s="1" t="s">
        <v>139</v>
      </c>
      <c r="H72" s="2" t="s">
        <v>61</v>
      </c>
    </row>
    <row r="73" spans="1:8" s="9" customFormat="1" outlineLevel="1" x14ac:dyDescent="0.3">
      <c r="A73" s="1" t="s">
        <v>200</v>
      </c>
      <c r="B73" s="2">
        <v>100</v>
      </c>
      <c r="C73" s="2" t="s">
        <v>148</v>
      </c>
      <c r="D73" s="2">
        <f>D65</f>
        <v>0.18512524760110738</v>
      </c>
      <c r="E73" s="2" t="s">
        <v>139</v>
      </c>
      <c r="F73" s="1">
        <f>Cv_ps(B73,D73)</f>
        <v>0.95412073194367009</v>
      </c>
      <c r="G73" s="1" t="s">
        <v>139</v>
      </c>
      <c r="H73" s="2" t="s">
        <v>62</v>
      </c>
    </row>
    <row r="74" spans="1:8" s="13" customFormat="1" ht="15.5" x14ac:dyDescent="0.35">
      <c r="A74" s="25" t="s">
        <v>6</v>
      </c>
      <c r="F74" s="12"/>
      <c r="G74" s="12"/>
    </row>
    <row r="75" spans="1:8" s="9" customFormat="1" outlineLevel="1" x14ac:dyDescent="0.3">
      <c r="A75" s="1" t="s">
        <v>216</v>
      </c>
      <c r="B75" s="2">
        <v>1</v>
      </c>
      <c r="C75" s="2" t="s">
        <v>148</v>
      </c>
      <c r="D75" s="2"/>
      <c r="E75" s="2"/>
      <c r="F75" s="1">
        <f>wV_p(B75)</f>
        <v>1430.0233443387121</v>
      </c>
      <c r="G75" s="1" t="s">
        <v>145</v>
      </c>
      <c r="H75" s="2" t="s">
        <v>27</v>
      </c>
    </row>
    <row r="76" spans="1:8" s="9" customFormat="1" outlineLevel="1" x14ac:dyDescent="0.3">
      <c r="A76" s="1" t="s">
        <v>218</v>
      </c>
      <c r="B76" s="2">
        <v>1</v>
      </c>
      <c r="C76" s="2" t="s">
        <v>148</v>
      </c>
      <c r="D76" s="2"/>
      <c r="E76" s="2"/>
      <c r="F76" s="1">
        <f>wL_p(B76)</f>
        <v>5016.1265905500759</v>
      </c>
      <c r="G76" s="1" t="s">
        <v>145</v>
      </c>
      <c r="H76" s="2" t="s">
        <v>26</v>
      </c>
    </row>
    <row r="77" spans="1:8" s="9" customFormat="1" outlineLevel="1" x14ac:dyDescent="0.3">
      <c r="A77" s="1" t="s">
        <v>220</v>
      </c>
      <c r="B77" s="2">
        <v>100</v>
      </c>
      <c r="C77" s="2" t="s">
        <v>141</v>
      </c>
      <c r="D77" s="2"/>
      <c r="E77" s="2"/>
      <c r="F77" s="1">
        <f>wV_T(B77)</f>
        <v>1427.980732399066</v>
      </c>
      <c r="G77" s="1" t="s">
        <v>145</v>
      </c>
      <c r="H77" s="2" t="s">
        <v>27</v>
      </c>
    </row>
    <row r="78" spans="1:8" s="9" customFormat="1" outlineLevel="1" x14ac:dyDescent="0.3">
      <c r="A78" s="1" t="s">
        <v>221</v>
      </c>
      <c r="B78" s="2">
        <v>100</v>
      </c>
      <c r="C78" s="2" t="s">
        <v>141</v>
      </c>
      <c r="D78" s="2"/>
      <c r="E78" s="2"/>
      <c r="F78" s="1">
        <f>wL_T(B78)</f>
        <v>5010.5240656699543</v>
      </c>
      <c r="G78" s="1" t="s">
        <v>145</v>
      </c>
      <c r="H78" s="2" t="s">
        <v>26</v>
      </c>
    </row>
    <row r="79" spans="1:8" s="9" customFormat="1" outlineLevel="1" x14ac:dyDescent="0.3">
      <c r="A79" s="1" t="s">
        <v>203</v>
      </c>
      <c r="B79" s="2">
        <v>1</v>
      </c>
      <c r="C79" s="2" t="s">
        <v>148</v>
      </c>
      <c r="D79" s="2">
        <v>100</v>
      </c>
      <c r="E79" s="2" t="s">
        <v>141</v>
      </c>
      <c r="F79" s="1">
        <f>w_pT(B79,D79)</f>
        <v>5010.5258732811444</v>
      </c>
      <c r="G79" s="1" t="s">
        <v>145</v>
      </c>
      <c r="H79" s="2" t="s">
        <v>63</v>
      </c>
    </row>
    <row r="80" spans="1:8" s="9" customFormat="1" outlineLevel="1" x14ac:dyDescent="0.3">
      <c r="A80" s="1" t="s">
        <v>205</v>
      </c>
      <c r="B80" s="2">
        <v>100</v>
      </c>
      <c r="C80" s="2" t="s">
        <v>148</v>
      </c>
      <c r="D80" s="2">
        <v>100</v>
      </c>
      <c r="E80" s="2" t="s">
        <v>137</v>
      </c>
      <c r="F80" s="1">
        <f>w_ph(B80,D80)</f>
        <v>5090.5177966055244</v>
      </c>
      <c r="G80" s="1" t="s">
        <v>145</v>
      </c>
      <c r="H80" s="2" t="s">
        <v>64</v>
      </c>
    </row>
    <row r="81" spans="1:13" s="9" customFormat="1" outlineLevel="1" x14ac:dyDescent="0.3">
      <c r="A81" s="1" t="s">
        <v>207</v>
      </c>
      <c r="B81" s="2">
        <v>100</v>
      </c>
      <c r="C81" s="2" t="s">
        <v>148</v>
      </c>
      <c r="D81" s="2">
        <f>D73</f>
        <v>0.18512524760110738</v>
      </c>
      <c r="E81" s="2" t="s">
        <v>139</v>
      </c>
      <c r="F81" s="1">
        <f>w_ps(B81,D81)</f>
        <v>5090.9193656722355</v>
      </c>
      <c r="G81" s="1" t="s">
        <v>145</v>
      </c>
      <c r="H81" s="2" t="s">
        <v>65</v>
      </c>
    </row>
    <row r="82" spans="1:13" s="13" customFormat="1" ht="15.5" x14ac:dyDescent="0.35">
      <c r="A82" s="25" t="s">
        <v>123</v>
      </c>
      <c r="F82" s="12"/>
      <c r="G82" s="12"/>
    </row>
    <row r="83" spans="1:13" s="9" customFormat="1" ht="10.5" outlineLevel="1" x14ac:dyDescent="0.25">
      <c r="A83" s="9" t="s">
        <v>235</v>
      </c>
      <c r="F83" s="11"/>
      <c r="G83" s="11"/>
    </row>
    <row r="84" spans="1:13" s="9" customFormat="1" ht="10.5" outlineLevel="1" x14ac:dyDescent="0.25">
      <c r="A84" s="9" t="s">
        <v>31</v>
      </c>
      <c r="F84" s="11"/>
      <c r="G84" s="11"/>
    </row>
    <row r="85" spans="1:13" s="9" customFormat="1" outlineLevel="1" x14ac:dyDescent="0.3">
      <c r="A85" s="1" t="s">
        <v>209</v>
      </c>
      <c r="B85" s="2">
        <v>1</v>
      </c>
      <c r="C85" s="2" t="s">
        <v>148</v>
      </c>
      <c r="D85" s="2">
        <v>100</v>
      </c>
      <c r="E85" s="2" t="s">
        <v>141</v>
      </c>
      <c r="F85" s="1">
        <f>my_pT(B85,D85)</f>
        <v>1.6478178107529025</v>
      </c>
      <c r="G85" s="1" t="s">
        <v>144</v>
      </c>
      <c r="H85" s="2" t="s">
        <v>66</v>
      </c>
    </row>
    <row r="86" spans="1:13" s="9" customFormat="1" outlineLevel="1" x14ac:dyDescent="0.3">
      <c r="A86" s="1" t="s">
        <v>211</v>
      </c>
      <c r="B86" s="2">
        <v>100</v>
      </c>
      <c r="C86" s="2" t="s">
        <v>148</v>
      </c>
      <c r="D86" s="2">
        <v>100</v>
      </c>
      <c r="E86" s="2" t="s">
        <v>137</v>
      </c>
      <c r="F86" s="1">
        <f>my_ph(B86,D86)</f>
        <v>1.2111188734075722</v>
      </c>
      <c r="G86" s="1" t="s">
        <v>144</v>
      </c>
      <c r="H86" s="2" t="s">
        <v>67</v>
      </c>
    </row>
    <row r="87" spans="1:13" s="9" customFormat="1" outlineLevel="1" x14ac:dyDescent="0.3">
      <c r="A87" s="1" t="s">
        <v>213</v>
      </c>
      <c r="B87" s="2">
        <v>100</v>
      </c>
      <c r="C87" s="2" t="s">
        <v>148</v>
      </c>
      <c r="D87" s="2">
        <f>D81</f>
        <v>0.18512524760110738</v>
      </c>
      <c r="E87" s="2" t="s">
        <v>139</v>
      </c>
      <c r="F87" s="1">
        <f>my_ps(B87,D87)</f>
        <v>1.2081795712174075</v>
      </c>
      <c r="G87" s="1" t="s">
        <v>144</v>
      </c>
      <c r="H87" s="2" t="s">
        <v>68</v>
      </c>
    </row>
    <row r="88" spans="1:13" ht="18" x14ac:dyDescent="0.4">
      <c r="A88" s="6" t="s">
        <v>118</v>
      </c>
      <c r="F88" s="10"/>
      <c r="H88" s="40"/>
      <c r="I88" s="7"/>
      <c r="J88" s="7"/>
      <c r="K88" s="7"/>
      <c r="L88" s="7"/>
      <c r="M88" s="7"/>
    </row>
    <row r="89" spans="1:13" outlineLevel="1" x14ac:dyDescent="0.3">
      <c r="A89" s="9" t="s">
        <v>124</v>
      </c>
      <c r="F89" s="10"/>
      <c r="H89" s="40"/>
      <c r="I89" s="7"/>
      <c r="J89" s="7"/>
      <c r="K89" s="7"/>
      <c r="L89" s="7"/>
      <c r="M89" s="7"/>
    </row>
    <row r="90" spans="1:13" outlineLevel="1" x14ac:dyDescent="0.3">
      <c r="A90" s="1" t="s">
        <v>236</v>
      </c>
      <c r="B90">
        <v>1</v>
      </c>
      <c r="C90" t="s">
        <v>148</v>
      </c>
      <c r="D90">
        <v>200</v>
      </c>
      <c r="E90" t="s">
        <v>141</v>
      </c>
      <c r="F90" s="10">
        <f>pr_pT(B90,D90)</f>
        <v>0.97012024380540329</v>
      </c>
      <c r="G90" s="1" t="s">
        <v>127</v>
      </c>
      <c r="H90" s="40"/>
      <c r="I90" s="7"/>
      <c r="J90" s="7"/>
      <c r="K90" s="7"/>
      <c r="L90" s="7"/>
      <c r="M90" s="7"/>
    </row>
    <row r="91" spans="1:13" outlineLevel="1" x14ac:dyDescent="0.3">
      <c r="A91" s="1" t="s">
        <v>237</v>
      </c>
      <c r="B91">
        <v>1</v>
      </c>
      <c r="C91" t="s">
        <v>148</v>
      </c>
      <c r="D91">
        <v>0.19</v>
      </c>
      <c r="E91" t="s">
        <v>137</v>
      </c>
      <c r="F91" s="10">
        <f>pr_ph(B91,D91)</f>
        <v>13.405629376747422</v>
      </c>
      <c r="G91" s="1" t="s">
        <v>127</v>
      </c>
      <c r="H91" s="40"/>
      <c r="I91" s="7"/>
      <c r="J91" s="7"/>
      <c r="K91" s="7"/>
      <c r="L91" s="7"/>
      <c r="M91" s="7"/>
    </row>
    <row r="92" spans="1:13" s="13" customFormat="1" ht="15.5" x14ac:dyDescent="0.35">
      <c r="A92" s="25" t="s">
        <v>79</v>
      </c>
      <c r="F92" s="12"/>
      <c r="G92" s="12"/>
      <c r="H92" s="41"/>
      <c r="I92" s="41"/>
      <c r="J92" s="41"/>
      <c r="K92" s="41"/>
      <c r="L92" s="41"/>
      <c r="M92" s="41"/>
    </row>
    <row r="93" spans="1:13" s="9" customFormat="1" ht="10.5" outlineLevel="1" x14ac:dyDescent="0.25">
      <c r="A93" s="9" t="s">
        <v>80</v>
      </c>
      <c r="F93" s="11"/>
      <c r="G93" s="11"/>
    </row>
    <row r="94" spans="1:13" s="9" customFormat="1" outlineLevel="1" x14ac:dyDescent="0.3">
      <c r="A94" s="1" t="s">
        <v>224</v>
      </c>
      <c r="B94" s="2">
        <v>1</v>
      </c>
      <c r="C94" s="2" t="s">
        <v>148</v>
      </c>
      <c r="D94" s="2"/>
      <c r="E94" s="2"/>
      <c r="F94" s="1">
        <f>tcL_p(B94)</f>
        <v>0.36222613868369979</v>
      </c>
      <c r="G94" s="1" t="s">
        <v>146</v>
      </c>
      <c r="H94" s="2" t="s">
        <v>81</v>
      </c>
    </row>
    <row r="95" spans="1:13" s="9" customFormat="1" outlineLevel="1" x14ac:dyDescent="0.3">
      <c r="A95" s="1" t="s">
        <v>225</v>
      </c>
      <c r="B95" s="2">
        <v>1</v>
      </c>
      <c r="C95" s="2" t="s">
        <v>148</v>
      </c>
      <c r="D95" s="2"/>
      <c r="E95" s="2"/>
      <c r="F95" s="1">
        <f>tcV_p(B95)</f>
        <v>1.1197748930408077E-2</v>
      </c>
      <c r="G95" s="1" t="s">
        <v>146</v>
      </c>
      <c r="H95" s="2" t="s">
        <v>82</v>
      </c>
    </row>
    <row r="96" spans="1:13" s="9" customFormat="1" outlineLevel="1" x14ac:dyDescent="0.3">
      <c r="A96" s="1" t="s">
        <v>227</v>
      </c>
      <c r="B96" s="2">
        <v>50</v>
      </c>
      <c r="C96" s="2" t="s">
        <v>141</v>
      </c>
      <c r="D96" s="2"/>
      <c r="E96" s="2"/>
      <c r="F96" s="1">
        <f>tcL_T(B96)</f>
        <v>0.33622668208052353</v>
      </c>
      <c r="G96" s="1" t="s">
        <v>146</v>
      </c>
      <c r="H96" s="2" t="s">
        <v>81</v>
      </c>
    </row>
    <row r="97" spans="1:8" s="9" customFormat="1" outlineLevel="1" x14ac:dyDescent="0.3">
      <c r="A97" s="1" t="s">
        <v>229</v>
      </c>
      <c r="B97" s="2">
        <v>50</v>
      </c>
      <c r="C97" s="2" t="s">
        <v>141</v>
      </c>
      <c r="D97" s="2"/>
      <c r="E97" s="2"/>
      <c r="F97" s="1">
        <f>tcV_T(B97)</f>
        <v>9.9463765547369021E-3</v>
      </c>
      <c r="G97" s="1" t="s">
        <v>146</v>
      </c>
      <c r="H97" s="2" t="s">
        <v>82</v>
      </c>
    </row>
    <row r="98" spans="1:8" s="9" customFormat="1" outlineLevel="1" x14ac:dyDescent="0.3">
      <c r="A98" s="1" t="s">
        <v>215</v>
      </c>
      <c r="B98" s="2">
        <v>1</v>
      </c>
      <c r="C98" s="2" t="s">
        <v>148</v>
      </c>
      <c r="D98" s="2">
        <v>50</v>
      </c>
      <c r="E98" s="2" t="s">
        <v>141</v>
      </c>
      <c r="F98" s="1">
        <f>tc_pt(B98,D98)</f>
        <v>0.33622852115403534</v>
      </c>
      <c r="G98" s="1" t="s">
        <v>146</v>
      </c>
      <c r="H98" s="2" t="s">
        <v>83</v>
      </c>
    </row>
    <row r="99" spans="1:8" s="9" customFormat="1" outlineLevel="1" x14ac:dyDescent="0.3">
      <c r="A99" s="1" t="s">
        <v>217</v>
      </c>
      <c r="B99" s="2">
        <v>1</v>
      </c>
      <c r="C99" s="2" t="s">
        <v>148</v>
      </c>
      <c r="D99" s="2">
        <v>100</v>
      </c>
      <c r="E99" s="2" t="s">
        <v>139</v>
      </c>
      <c r="F99" s="1">
        <f>tc_ph(B99,D99)</f>
        <v>2.0136752000970422E-2</v>
      </c>
      <c r="G99" s="1" t="s">
        <v>146</v>
      </c>
      <c r="H99" s="2" t="s">
        <v>84</v>
      </c>
    </row>
    <row r="100" spans="1:8" s="9" customFormat="1" outlineLevel="1" x14ac:dyDescent="0.3">
      <c r="A100" s="1" t="s">
        <v>219</v>
      </c>
      <c r="B100" s="2">
        <v>100</v>
      </c>
      <c r="C100" s="2" t="s">
        <v>137</v>
      </c>
      <c r="D100" s="2">
        <f>D73</f>
        <v>0.18512524760110738</v>
      </c>
      <c r="E100" s="2" t="s">
        <v>139</v>
      </c>
      <c r="F100" s="1">
        <f>tc_hs(B100,D100)</f>
        <v>0.37348196102713527</v>
      </c>
      <c r="G100" s="1" t="s">
        <v>146</v>
      </c>
      <c r="H100" s="2" t="s">
        <v>85</v>
      </c>
    </row>
    <row r="101" spans="1:8" s="9" customFormat="1" ht="15.5" x14ac:dyDescent="0.35">
      <c r="A101" s="25" t="s">
        <v>86</v>
      </c>
      <c r="B101" s="2"/>
      <c r="C101" s="2"/>
      <c r="D101" s="2"/>
      <c r="E101" s="2"/>
      <c r="F101" s="1"/>
      <c r="G101" s="1"/>
      <c r="H101" s="2"/>
    </row>
    <row r="102" spans="1:8" s="9" customFormat="1" ht="10.5" outlineLevel="1" x14ac:dyDescent="0.25">
      <c r="A102" s="9" t="s">
        <v>87</v>
      </c>
      <c r="F102" s="11"/>
      <c r="G102" s="11"/>
    </row>
    <row r="103" spans="1:8" s="9" customFormat="1" outlineLevel="1" x14ac:dyDescent="0.3">
      <c r="A103" s="1" t="s">
        <v>230</v>
      </c>
      <c r="B103" s="2">
        <v>100</v>
      </c>
      <c r="C103" s="2" t="s">
        <v>141</v>
      </c>
      <c r="D103" s="2"/>
      <c r="E103" s="2"/>
      <c r="F103" s="1">
        <f>st_T(B104)</f>
        <v>5.3422775305155355E-3</v>
      </c>
      <c r="G103" s="1" t="s">
        <v>147</v>
      </c>
      <c r="H103" s="2" t="s">
        <v>89</v>
      </c>
    </row>
    <row r="104" spans="1:8" s="9" customFormat="1" outlineLevel="1" x14ac:dyDescent="0.3">
      <c r="A104" s="1" t="s">
        <v>231</v>
      </c>
      <c r="B104" s="2">
        <v>1</v>
      </c>
      <c r="C104" s="2" t="s">
        <v>148</v>
      </c>
      <c r="D104" s="2"/>
      <c r="E104" s="2"/>
      <c r="F104" s="1">
        <f>st_p(B104)</f>
        <v>4.7830973201098753E-3</v>
      </c>
      <c r="G104" s="1" t="s">
        <v>147</v>
      </c>
      <c r="H104" s="2" t="s">
        <v>89</v>
      </c>
    </row>
    <row r="105" spans="1:8" s="13" customFormat="1" ht="15.5" x14ac:dyDescent="0.35">
      <c r="A105" s="25" t="s">
        <v>28</v>
      </c>
      <c r="F105" s="12"/>
      <c r="G105" s="12"/>
    </row>
    <row r="106" spans="1:8" s="9" customFormat="1" outlineLevel="1" x14ac:dyDescent="0.3">
      <c r="A106" s="1" t="s">
        <v>222</v>
      </c>
      <c r="B106" s="2">
        <v>1</v>
      </c>
      <c r="C106" s="2" t="s">
        <v>148</v>
      </c>
      <c r="D106" s="2">
        <v>1000</v>
      </c>
      <c r="E106" s="2" t="s">
        <v>137</v>
      </c>
      <c r="F106" s="1">
        <f>x_ph(B106,D106)</f>
        <v>0.89819618742791218</v>
      </c>
      <c r="G106" s="1"/>
      <c r="H106" s="2" t="s">
        <v>69</v>
      </c>
    </row>
    <row r="107" spans="1:8" s="9" customFormat="1" outlineLevel="1" x14ac:dyDescent="0.3">
      <c r="A107" s="1" t="s">
        <v>223</v>
      </c>
      <c r="B107" s="2">
        <v>1</v>
      </c>
      <c r="C107" s="2" t="s">
        <v>148</v>
      </c>
      <c r="D107" s="2">
        <v>4</v>
      </c>
      <c r="E107" s="2" t="s">
        <v>139</v>
      </c>
      <c r="F107" s="1">
        <f>x_ps(B107,D107)</f>
        <v>1</v>
      </c>
      <c r="G107" s="1"/>
      <c r="H107" s="2" t="s">
        <v>70</v>
      </c>
    </row>
    <row r="108" spans="1:8" s="13" customFormat="1" ht="15.5" x14ac:dyDescent="0.35">
      <c r="A108" s="25" t="s">
        <v>77</v>
      </c>
      <c r="F108" s="12"/>
      <c r="G108" s="12"/>
    </row>
    <row r="109" spans="1:8" s="9" customFormat="1" ht="10.5" outlineLevel="1" x14ac:dyDescent="0.25">
      <c r="A109" s="9" t="s">
        <v>37</v>
      </c>
      <c r="F109" s="11"/>
      <c r="G109" s="11"/>
    </row>
    <row r="110" spans="1:8" s="9" customFormat="1" ht="10.5" outlineLevel="1" x14ac:dyDescent="0.25">
      <c r="A110" s="9" t="s">
        <v>30</v>
      </c>
      <c r="F110" s="11"/>
      <c r="G110" s="11"/>
    </row>
    <row r="111" spans="1:8" s="9" customFormat="1" outlineLevel="1" x14ac:dyDescent="0.3">
      <c r="A111" s="1" t="s">
        <v>226</v>
      </c>
      <c r="B111" s="2">
        <v>1</v>
      </c>
      <c r="C111" s="2" t="s">
        <v>148</v>
      </c>
      <c r="D111" s="2">
        <v>418</v>
      </c>
      <c r="E111" s="2" t="s">
        <v>137</v>
      </c>
      <c r="F111" s="8">
        <f>vx_ph(B111,D111)</f>
        <v>0.99990450365888783</v>
      </c>
      <c r="G111" s="1"/>
      <c r="H111" s="2" t="s">
        <v>71</v>
      </c>
    </row>
    <row r="112" spans="1:8" s="9" customFormat="1" outlineLevel="1" x14ac:dyDescent="0.3">
      <c r="A112" s="1" t="s">
        <v>228</v>
      </c>
      <c r="B112" s="2">
        <v>1</v>
      </c>
      <c r="C112" s="2" t="s">
        <v>148</v>
      </c>
      <c r="D112" s="2">
        <v>4</v>
      </c>
      <c r="E112" s="2" t="s">
        <v>139</v>
      </c>
      <c r="F112" s="8">
        <f>vx_ps(B112,D112)</f>
        <v>1</v>
      </c>
      <c r="G112" s="1"/>
      <c r="H112" s="2" t="s">
        <v>72</v>
      </c>
    </row>
    <row r="113" spans="1:11" s="9" customFormat="1" ht="10.5" x14ac:dyDescent="0.25">
      <c r="F113" s="11"/>
      <c r="G113" s="11"/>
    </row>
    <row r="114" spans="1:11" ht="15.5" x14ac:dyDescent="0.35">
      <c r="A114" s="25" t="s">
        <v>128</v>
      </c>
    </row>
    <row r="115" spans="1:11" x14ac:dyDescent="0.3">
      <c r="A115" s="11" t="s">
        <v>244</v>
      </c>
    </row>
    <row r="116" spans="1:11" x14ac:dyDescent="0.3">
      <c r="A116" s="9" t="s">
        <v>245</v>
      </c>
    </row>
    <row r="117" spans="1:11" x14ac:dyDescent="0.3">
      <c r="A117" s="9" t="s">
        <v>246</v>
      </c>
    </row>
    <row r="118" spans="1:11" x14ac:dyDescent="0.3">
      <c r="A118" s="11" t="s">
        <v>238</v>
      </c>
    </row>
    <row r="119" spans="1:11" x14ac:dyDescent="0.3">
      <c r="A119" s="9" t="s">
        <v>232</v>
      </c>
    </row>
    <row r="120" spans="1:11" x14ac:dyDescent="0.3">
      <c r="A120" s="9" t="s">
        <v>233</v>
      </c>
    </row>
    <row r="121" spans="1:11" x14ac:dyDescent="0.3">
      <c r="A121" s="9" t="s">
        <v>234</v>
      </c>
    </row>
    <row r="122" spans="1:11" x14ac:dyDescent="0.3">
      <c r="A122" s="11" t="s">
        <v>239</v>
      </c>
    </row>
    <row r="123" spans="1:11" x14ac:dyDescent="0.3">
      <c r="A123" s="9" t="s">
        <v>240</v>
      </c>
    </row>
    <row r="124" spans="1:11" x14ac:dyDescent="0.3">
      <c r="A124" s="9" t="s">
        <v>149</v>
      </c>
    </row>
    <row r="125" spans="1:11" x14ac:dyDescent="0.3">
      <c r="A125" s="9" t="s">
        <v>241</v>
      </c>
      <c r="G125" s="11"/>
    </row>
    <row r="126" spans="1:11" x14ac:dyDescent="0.3">
      <c r="A126" s="11" t="s">
        <v>242</v>
      </c>
      <c r="G126" s="9"/>
    </row>
    <row r="127" spans="1:11" x14ac:dyDescent="0.3">
      <c r="A127" s="9" t="s">
        <v>150</v>
      </c>
      <c r="G127" s="9"/>
    </row>
    <row r="128" spans="1:11" ht="12" customHeight="1" x14ac:dyDescent="0.3">
      <c r="A128" s="9" t="s">
        <v>151</v>
      </c>
      <c r="G128" s="9"/>
      <c r="K128" s="9"/>
    </row>
    <row r="129" spans="1:1" ht="11.4" customHeight="1" x14ac:dyDescent="0.3">
      <c r="A129" s="9" t="s">
        <v>130</v>
      </c>
    </row>
    <row r="130" spans="1:1" ht="11.4" customHeight="1" x14ac:dyDescent="0.3">
      <c r="A130" s="9" t="s">
        <v>133</v>
      </c>
    </row>
    <row r="131" spans="1:1" x14ac:dyDescent="0.3">
      <c r="A131" s="11" t="s">
        <v>126</v>
      </c>
    </row>
    <row r="132" spans="1:1" x14ac:dyDescent="0.3">
      <c r="A132" s="9" t="s">
        <v>131</v>
      </c>
    </row>
    <row r="133" spans="1:1" x14ac:dyDescent="0.3">
      <c r="A133" s="9" t="s">
        <v>132</v>
      </c>
    </row>
    <row r="134" spans="1:1" x14ac:dyDescent="0.3">
      <c r="A134" s="9" t="s">
        <v>134</v>
      </c>
    </row>
    <row r="135" spans="1:1" x14ac:dyDescent="0.3">
      <c r="A135" s="9" t="s">
        <v>120</v>
      </c>
    </row>
    <row r="136" spans="1:1" x14ac:dyDescent="0.3">
      <c r="A136" s="9" t="s">
        <v>126</v>
      </c>
    </row>
    <row r="137" spans="1:1" x14ac:dyDescent="0.3">
      <c r="A137" s="11" t="s">
        <v>122</v>
      </c>
    </row>
    <row r="138" spans="1:1" x14ac:dyDescent="0.3">
      <c r="A138" s="9" t="s">
        <v>121</v>
      </c>
    </row>
    <row r="139" spans="1:1" x14ac:dyDescent="0.3">
      <c r="A139" s="9" t="s">
        <v>129</v>
      </c>
    </row>
    <row r="140" spans="1:1" x14ac:dyDescent="0.3">
      <c r="A140" s="9" t="s">
        <v>125</v>
      </c>
    </row>
    <row r="141" spans="1:1" x14ac:dyDescent="0.3">
      <c r="A141" s="9" t="s">
        <v>117</v>
      </c>
    </row>
    <row r="142" spans="1:1" x14ac:dyDescent="0.3">
      <c r="A142" s="9" t="s">
        <v>113</v>
      </c>
    </row>
    <row r="143" spans="1:1" x14ac:dyDescent="0.3">
      <c r="A143" s="11" t="s">
        <v>114</v>
      </c>
    </row>
    <row r="144" spans="1:1" x14ac:dyDescent="0.3">
      <c r="A144" s="9" t="s">
        <v>115</v>
      </c>
    </row>
    <row r="145" spans="1:1" x14ac:dyDescent="0.3">
      <c r="A145" s="9" t="s">
        <v>116</v>
      </c>
    </row>
    <row r="146" spans="1:1" x14ac:dyDescent="0.3">
      <c r="A146" s="9" t="s">
        <v>73</v>
      </c>
    </row>
    <row r="147" spans="1:1" x14ac:dyDescent="0.3">
      <c r="A147" s="11" t="s">
        <v>88</v>
      </c>
    </row>
    <row r="148" spans="1:1" x14ac:dyDescent="0.3">
      <c r="A148" s="9" t="s">
        <v>74</v>
      </c>
    </row>
    <row r="149" spans="1:1" x14ac:dyDescent="0.3">
      <c r="A149" s="9" t="s">
        <v>75</v>
      </c>
    </row>
    <row r="150" spans="1:1" x14ac:dyDescent="0.3">
      <c r="A150" s="9" t="s">
        <v>243</v>
      </c>
    </row>
    <row r="151" spans="1:1" x14ac:dyDescent="0.3">
      <c r="A151" s="9" t="s">
        <v>75</v>
      </c>
    </row>
    <row r="152" spans="1:1" x14ac:dyDescent="0.3">
      <c r="A152" s="9" t="s">
        <v>76</v>
      </c>
    </row>
  </sheetData>
  <phoneticPr fontId="0" type="noConversion"/>
  <hyperlinks>
    <hyperlink ref="E1" r:id="rId1"/>
    <hyperlink ref="F4" r:id="rId2"/>
  </hyperlinks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Main</vt:lpstr>
      <vt:lpstr>Blank for Calculation</vt:lpstr>
      <vt:lpstr>Pipe Chart</vt:lpstr>
      <vt:lpstr>Properties</vt:lpstr>
      <vt:lpstr>Functions</vt:lpstr>
      <vt:lpstr>Drum_Design</vt:lpstr>
      <vt:lpstr>Drum_Layout</vt:lpstr>
      <vt:lpstr>Pipe_Chart</vt:lpstr>
      <vt:lpstr>Pipe_Size</vt:lpstr>
      <vt:lpstr>Prev_unit</vt:lpstr>
      <vt:lpstr>Main!Print_Area</vt:lpstr>
      <vt:lpstr>unit_preference_energy</vt:lpstr>
      <vt:lpstr>unit_preference_energy_SI</vt:lpstr>
      <vt:lpstr>unit_preference_length</vt:lpstr>
      <vt:lpstr>unit_preference_length_inch</vt:lpstr>
      <vt:lpstr>unit_preference_length_SI</vt:lpstr>
      <vt:lpstr>unit_preference_mass</vt:lpstr>
      <vt:lpstr>unit_preference_mass_SI</vt:lpstr>
      <vt:lpstr>unit_preference_pres</vt:lpstr>
      <vt:lpstr>unit_preference_pres_SI</vt:lpstr>
      <vt:lpstr>unit_preference_velo</vt:lpstr>
      <vt:lpstr>units_pref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kpaffel</dc:creator>
  <cp:lastModifiedBy>Curran Paffel</cp:lastModifiedBy>
  <cp:lastPrinted>2011-11-15T18:52:21Z</cp:lastPrinted>
  <dcterms:created xsi:type="dcterms:W3CDTF">1996-10-14T23:33:28Z</dcterms:created>
  <dcterms:modified xsi:type="dcterms:W3CDTF">2018-01-02T16:09:57Z</dcterms:modified>
</cp:coreProperties>
</file>